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2" sheetId="1" r:id="rId1"/>
  </sheets>
  <definedNames>
    <definedName name="_Date_">#REF!</definedName>
    <definedName name="_Otchet_Period_Source__AT_ObjectName">#REF!</definedName>
    <definedName name="_Period_">#REF!</definedName>
    <definedName name="Excel_BuiltIn_Print_Area" localSheetId="0">'Расходы 2022'!$A$4:$E$1058</definedName>
    <definedName name="Excel_BuiltIn_Print_Titles" localSheetId="0">'Расходы 2022'!$7:$7</definedName>
    <definedName name="_xlnm.Print_Titles" localSheetId="0">'Расходы 2022'!$7:$7</definedName>
    <definedName name="_xlnm.Print_Area" localSheetId="0">'Расходы 2022'!$A$1:$H$1058</definedName>
  </definedNames>
  <calcPr fullCalcOnLoad="1"/>
</workbook>
</file>

<file path=xl/sharedStrings.xml><?xml version="1.0" encoding="utf-8"?>
<sst xmlns="http://schemas.openxmlformats.org/spreadsheetml/2006/main" count="3927" uniqueCount="687">
  <si>
    <t>Ведомственная структура расходов бюджета города Обнинска на 2022 год</t>
  </si>
  <si>
    <t>(рублей)</t>
  </si>
  <si>
    <t>Наименование</t>
  </si>
  <si>
    <t>КГРБС</t>
  </si>
  <si>
    <t>Раздел, подраз-дел</t>
  </si>
  <si>
    <t>Целевая статья</t>
  </si>
  <si>
    <t>Группы и подгруп-пы видов расходов</t>
  </si>
  <si>
    <t>Утверждено на 2022 год</t>
  </si>
  <si>
    <t>Изменения (увеличение (+), уменьшение (-))</t>
  </si>
  <si>
    <t>Сумма на 2022 год с учетом изменений</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</si>
  <si>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</si>
  <si>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</si>
  <si>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</si>
  <si>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</si>
  <si>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</si>
  <si>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</si>
  <si>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</si>
  <si>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</si>
  <si>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</si>
  <si>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</si>
  <si>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</si>
  <si>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</si>
  <si>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</si>
  <si>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</si>
  <si>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</si>
  <si>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</si>
  <si>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</si>
  <si>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</si>
  <si>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</si>
  <si>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</si>
  <si>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</si>
  <si>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</si>
  <si>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</si>
  <si>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</si>
  <si>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</si>
  <si>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</si>
  <si>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Иные бюджетные ассигнования</t>
  </si>
  <si>
    <t>800</t>
  </si>
  <si>
    <t>Уплата налогов, сборов и иных платежей</t>
  </si>
  <si>
    <t>850</t>
  </si>
  <si>
    <t>Поощрение муниципальных управленческих команд за счет средств областного бюджета</t>
  </si>
  <si>
    <t>70 1 00 55490</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</si>
  <si>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</si>
  <si>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</si>
  <si>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</si>
  <si>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</si>
  <si>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</si>
  <si>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</si>
  <si>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</si>
  <si>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</si>
  <si>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</si>
  <si>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</si>
  <si>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70 3 00 00000</t>
  </si>
  <si>
    <t>Проведение выборов в представительные органы муниципального образования</t>
  </si>
  <si>
    <t>70 3 00 13012</t>
  </si>
  <si>
    <t>Специальные расходы</t>
  </si>
  <si>
    <t>880</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</si>
  <si>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</si>
  <si>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</si>
  <si>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</si>
  <si>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</si>
  <si>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</si>
  <si>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</si>
  <si>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</si>
  <si>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</si>
  <si>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</si>
  <si>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</si>
  <si>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</si>
  <si>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</si>
  <si>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</si>
  <si>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</si>
  <si>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</si>
  <si>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</si>
  <si>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</si>
  <si>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</si>
  <si>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</si>
  <si>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</si>
  <si>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</si>
  <si>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</si>
  <si>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</si>
  <si>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</si>
  <si>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</si>
  <si>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</si>
  <si>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</si>
  <si>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</si>
  <si>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</si>
  <si>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</si>
  <si>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</si>
  <si>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</si>
  <si>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</si>
  <si>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</si>
  <si>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</si>
  <si>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</si>
  <si>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</si>
  <si>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</si>
  <si>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</si>
  <si>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</si>
  <si>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</si>
  <si>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</si>
  <si>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</si>
  <si>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</si>
  <si>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</si>
  <si>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</si>
  <si>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</si>
  <si>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</si>
  <si>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</si>
  <si>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</si>
  <si>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</si>
  <si>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</si>
  <si>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</si>
  <si>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</si>
  <si>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</si>
  <si>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</si>
  <si>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</si>
  <si>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</si>
  <si>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</si>
  <si>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Изъятие земельных участков, находящихся в частной собственности, для муниципальных нужд</t>
  </si>
  <si>
    <t>70 3 00 13014</t>
  </si>
  <si>
    <t>Капитальные вложения в объекты государственной (муниципальной) собственности</t>
  </si>
  <si>
    <t>Бюджетные инвестиции</t>
  </si>
  <si>
    <t>Расходы на проведение антитеррористических учений</t>
  </si>
  <si>
    <t>70 4 00 00152</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</si>
  <si>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</si>
  <si>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70 4 00 00154</t>
  </si>
  <si>
    <t>Выплаты стимулирующего характера медицинским работникам, участвующим в проведении вакцинации против новой коронавирусной инфекции COVID-19</t>
  </si>
  <si>
    <t>70 4 00 00155</t>
  </si>
  <si>
    <t>Прочие непрограммные направления расходов</t>
  </si>
  <si>
    <t>70 9 00 00000</t>
  </si>
  <si>
    <t>Мероприятия по здоровому образу жизни в городе Обнинске</t>
  </si>
  <si>
    <t>70 9 00 19004</t>
  </si>
  <si>
    <t>Исполнение судебных актов</t>
  </si>
  <si>
    <t>70 9 00 19005</t>
  </si>
  <si>
    <t>Расходы, связанные с организацией и проведением сельскохозяйственных ярмарок выходного дня в городе Обнинске</t>
  </si>
  <si>
    <t>70 9 00 19007</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</si>
  <si>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 за счет средств местного бюджета</t>
  </si>
  <si>
    <t>70 9 00 19008</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</si>
  <si>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</si>
  <si>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</si>
  <si>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</si>
  <si>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</si>
  <si>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</si>
  <si>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</si>
  <si>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</si>
  <si>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</si>
  <si>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</si>
  <si>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</si>
  <si>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</si>
  <si>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</si>
  <si>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</si>
  <si>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</si>
  <si>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</si>
  <si>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Резервные фонды местных администраций</t>
  </si>
  <si>
    <t>70 2 00 00000</t>
  </si>
  <si>
    <t>Расходы за счет резервного фонда Администрации города Обнинска</t>
  </si>
  <si>
    <t>70 2 00 12003</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</si>
  <si>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</si>
  <si>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</si>
  <si>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</si>
  <si>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</si>
  <si>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</si>
  <si>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</si>
  <si>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</si>
  <si>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Реализация инфраструктурного проекта за счет средств бюджета города</t>
  </si>
  <si>
    <t>70 3 00 13016</t>
  </si>
  <si>
    <t>Реализация инфраструктурного проекта</t>
  </si>
  <si>
    <t>70 4 00 S8110</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</si>
  <si>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</si>
  <si>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</si>
  <si>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</si>
  <si>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</si>
  <si>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</si>
  <si>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</si>
  <si>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автомобильных дорог (за счет средств субсидии на осуществление дорожной деятельности)</t>
  </si>
  <si>
    <t>06 0 01 S5000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</si>
  <si>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</si>
  <si>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</si>
  <si>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 (за счет иных межбюджетных трансфертов на стимулирование муниципальных образований Калужской области, участвующих в конкурсе "Лучшая муниципальная практика развития территорий ТОС")</t>
  </si>
  <si>
    <t>06 0 03 00270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</si>
  <si>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</si>
  <si>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</si>
  <si>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</si>
  <si>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</si>
  <si>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</si>
  <si>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</si>
  <si>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</si>
  <si>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</si>
  <si>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</si>
  <si>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</si>
  <si>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Реконструкция участка автомобильной дороги ул. Красных Зорь на участке от ООО "Марк-4" до ул. Северная</t>
  </si>
  <si>
    <t>06 0 12 10000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</si>
  <si>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</si>
  <si>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</si>
  <si>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</si>
  <si>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85000</t>
  </si>
  <si>
    <t>06 0 R1 L5000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</si>
  <si>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</si>
  <si>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</si>
  <si>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</si>
  <si>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</si>
  <si>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</si>
  <si>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</si>
  <si>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</si>
  <si>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</si>
  <si>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</si>
  <si>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</si>
  <si>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</si>
  <si>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</si>
  <si>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</si>
  <si>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</si>
  <si>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</si>
  <si>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</si>
  <si>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</si>
  <si>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</si>
  <si>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</si>
  <si>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</si>
  <si>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</si>
  <si>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</si>
  <si>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</si>
  <si>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</si>
  <si>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</si>
  <si>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</si>
  <si>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</si>
  <si>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</si>
  <si>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Социальное обеспечение и иные выплаты населению</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</si>
  <si>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</si>
  <si>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</si>
  <si>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</si>
  <si>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</si>
  <si>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</si>
  <si>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МО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</si>
  <si>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</si>
  <si>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</si>
  <si>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</si>
  <si>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</si>
  <si>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</si>
  <si>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</si>
  <si>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</si>
  <si>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</si>
  <si>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</si>
  <si>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</si>
  <si>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</si>
  <si>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</si>
  <si>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</si>
  <si>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</si>
  <si>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</si>
  <si>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</si>
  <si>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</si>
  <si>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</si>
  <si>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</si>
  <si>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</si>
  <si>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</si>
  <si>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</si>
  <si>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</si>
  <si>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</si>
  <si>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</si>
  <si>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</si>
  <si>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</si>
  <si>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</si>
  <si>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</si>
  <si>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</si>
  <si>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</si>
  <si>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</si>
  <si>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</si>
  <si>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</si>
  <si>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 xml:space="preserve">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 </t>
  </si>
  <si>
    <t>70 3 00 13010</t>
  </si>
  <si>
    <t>Коммунальное хозяйство</t>
  </si>
  <si>
    <t>0502</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</si>
  <si>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</si>
  <si>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</si>
  <si>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</si>
  <si>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</si>
  <si>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</si>
  <si>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</si>
  <si>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Строительство магистрального хозфекального коллектора</t>
  </si>
  <si>
    <t>10 0 01 10000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</si>
  <si>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</si>
  <si>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</si>
  <si>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Строительство объекта: "Городской магистральный напорный хозфекальный коллектор и КНС-51 в г.Обнинске Калужской области"</t>
  </si>
  <si>
    <t>10 0 05 10000</t>
  </si>
  <si>
    <t>Выполнение мероприятий в связи с выводом из эксплуатации ТЭЦ ФЭИ и реконструкция тепловых сетей</t>
  </si>
  <si>
    <t>10 0 10 10000</t>
  </si>
  <si>
    <t xml:space="preserve">Проектирование и строительство станций очистки воды для скважин Вашутинского и Добринского водозаборов </t>
  </si>
  <si>
    <t>10 0 14 10000</t>
  </si>
  <si>
    <t xml:space="preserve">Проектирование и строительство очистных сооружений ливневых стоков базы по ул. Лесная, 15а </t>
  </si>
  <si>
    <t>10 0 15 10000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</si>
  <si>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</si>
  <si>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</si>
  <si>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</si>
  <si>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</si>
  <si>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</si>
  <si>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</si>
  <si>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</si>
  <si>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</si>
  <si>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</si>
  <si>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</si>
  <si>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</si>
  <si>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</si>
  <si>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</si>
  <si>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</si>
  <si>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</si>
  <si>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</si>
  <si>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</si>
  <si>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</si>
  <si>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</si>
  <si>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</si>
  <si>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</si>
  <si>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</si>
  <si>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</si>
  <si>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</si>
  <si>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</si>
  <si>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</si>
  <si>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</si>
  <si>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общественной территории в Зоне 2 общественного центра города</t>
  </si>
  <si>
    <t>09 4 03 10000</t>
  </si>
  <si>
    <t>Благоустройство общественной территории в Зоне 2 общественного центра города (осуществление мероприятий по реализации стратегий социально-экономического развития наукоградов Российской Федерации)</t>
  </si>
  <si>
    <t>09 4 03 L5250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</si>
  <si>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</si>
  <si>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</si>
  <si>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</si>
  <si>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</si>
  <si>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</si>
  <si>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15 0 02 10000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</si>
  <si>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</si>
  <si>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</si>
  <si>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</si>
  <si>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</si>
  <si>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</si>
  <si>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</si>
  <si>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МО "Город Обнинск"</t>
  </si>
  <si>
    <t>08 0 05 10000</t>
  </si>
  <si>
    <t>Образование</t>
  </si>
  <si>
    <t>0700</t>
  </si>
  <si>
    <t xml:space="preserve">Общее образование </t>
  </si>
  <si>
    <t>0702</t>
  </si>
  <si>
    <t>Муниципальная программа "Развитие системы образования города Обнинска"</t>
  </si>
  <si>
    <t>01 0 00 00000</t>
  </si>
  <si>
    <t>Подпрограмма "Развитие системы общего образования города Обнинска"</t>
  </si>
  <si>
    <t>01 2 00 00000</t>
  </si>
  <si>
    <t>Укрепление материально-технической базы общеобразовательных учреждений</t>
  </si>
  <si>
    <t>01 2 04 10000</t>
  </si>
  <si>
    <t>Молодежная политика</t>
  </si>
  <si>
    <t>0707</t>
  </si>
  <si>
    <t>Подпрограмма "Организация отдыха, оздоровления и занятости детей и подростков города Обнинска"</t>
  </si>
  <si>
    <t>01 4 00 00000</t>
  </si>
  <si>
    <t>Организация отдыха и оздоровления детей и подростков города Обнинска</t>
  </si>
  <si>
    <t>01 4 01 S8070</t>
  </si>
  <si>
    <t>Культура, кинематография</t>
  </si>
  <si>
    <t>0800</t>
  </si>
  <si>
    <t>Культура</t>
  </si>
  <si>
    <t>0801</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</si>
  <si>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</si>
  <si>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</si>
  <si>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</si>
  <si>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</si>
  <si>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Реконструкция учреждений культуры</t>
  </si>
  <si>
    <t>02 1 09 10000</t>
  </si>
  <si>
    <t>Кинематография</t>
  </si>
  <si>
    <t>0802</t>
  </si>
  <si>
    <t>Социальная политика</t>
  </si>
  <si>
    <t>1000</t>
  </si>
  <si>
    <t>Другие вопросы в области социальной политики</t>
  </si>
  <si>
    <t>1006</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</si>
  <si>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</si>
  <si>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</si>
  <si>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</si>
  <si>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</si>
  <si>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</si>
  <si>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</si>
  <si>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</si>
  <si>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</si>
  <si>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</si>
  <si>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</si>
  <si>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</si>
  <si>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</si>
  <si>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</si>
  <si>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</si>
  <si>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</si>
  <si>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04 0 05 00150</t>
  </si>
  <si>
    <t>Обеспечение деятельности муниципальных учреждений, реализующих программы спортивной подготовки (за счет иных межбюджетных трансфертов на поощрение муниципальных образований Калужской области, участвующих в конкурсе "Лучшая муниципальная практика развития территорий ТОС")</t>
  </si>
  <si>
    <t>04 0 05 00270</t>
  </si>
  <si>
    <t>Обеспечение деятельности муниципальных учреждений, реализующих программы спортивной подготовки</t>
  </si>
  <si>
    <t>04 0 05 10000</t>
  </si>
  <si>
    <t>Приобретение спортивного оборудования и инвентаря для приведения организаций спортивной подготовки в нормативное состояние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</si>
  <si>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 0 P5 52290</t>
  </si>
  <si>
    <t>Единовременный учредительный денежный взнос в автономную некоммерческую организацию, учредителем которой является Администрация города Обнинска</t>
  </si>
  <si>
    <t>70 3 00 13017</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</si>
  <si>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</si>
  <si>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</si>
  <si>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</si>
  <si>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</si>
  <si>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</si>
  <si>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</si>
  <si>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</si>
  <si>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</si>
  <si>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</si>
  <si>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</si>
  <si>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</si>
  <si>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</si>
  <si>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</si>
  <si>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</si>
  <si>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</si>
  <si>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</si>
  <si>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</si>
  <si>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</si>
  <si>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</si>
  <si>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</si>
  <si>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</si>
  <si>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</si>
  <si>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</si>
  <si>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</si>
  <si>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</si>
  <si>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</si>
  <si>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</si>
  <si>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</si>
  <si>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</si>
  <si>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</si>
  <si>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</si>
  <si>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</si>
  <si>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</si>
  <si>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</si>
  <si>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</si>
  <si>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</si>
  <si>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</si>
  <si>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</si>
  <si>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</si>
  <si>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</si>
  <si>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</si>
  <si>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</si>
  <si>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</si>
  <si>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</si>
  <si>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</si>
  <si>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</si>
  <si>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</si>
  <si>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</si>
  <si>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Обслуживание государственного и муниципального долга</t>
  </si>
  <si>
    <t>Обслуживание государственного внутреннего и муниципального долга</t>
  </si>
  <si>
    <t xml:space="preserve">Управление культуры и молодежной политики Администрации города  Обнинска </t>
  </si>
  <si>
    <t>840</t>
  </si>
  <si>
    <t>Дополнительное образование детей</t>
  </si>
  <si>
    <t>0703</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</si>
  <si>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</si>
  <si>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</si>
  <si>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</si>
  <si>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</si>
  <si>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</si>
  <si>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</si>
  <si>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Молодежная политика </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</si>
  <si>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</si>
  <si>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</si>
  <si>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</si>
  <si>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</si>
  <si>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</si>
  <si>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</si>
  <si>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</si>
  <si>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</si>
  <si>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Организация и проведение общегородских мероприятий (за счет иных межбюджетных трансфертов на стимулирование муниципальных образований Калужской области, участвующих в конкурсе "Лучшая муниципальная практика развития территорий ТОС")</t>
  </si>
  <si>
    <t>02 1 01 00270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</si>
  <si>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</si>
  <si>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</si>
  <si>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</si>
  <si>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</si>
  <si>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</si>
  <si>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</si>
  <si>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</si>
  <si>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</si>
  <si>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</si>
  <si>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</si>
  <si>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</si>
  <si>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</si>
  <si>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</si>
  <si>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</si>
  <si>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</si>
  <si>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</si>
  <si>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</si>
  <si>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</si>
  <si>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</si>
  <si>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</si>
  <si>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</si>
  <si>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</si>
  <si>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</si>
  <si>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</si>
  <si>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Создание виртуальных концертных залов (в рамках федерального проекта "Цифровизация услуг и формирование информационного пространства в сфере культуры" национального проекта "Культура") </t>
  </si>
  <si>
    <t>02 2 A3 54530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</si>
  <si>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</si>
  <si>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</si>
  <si>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</si>
  <si>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</si>
  <si>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</si>
  <si>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</si>
  <si>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</si>
  <si>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</si>
  <si>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Организация работы клубных формирований для пожилых граждан и инвалидов</t>
  </si>
  <si>
    <t>05 2 06 10000</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</si>
  <si>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</si>
  <si>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</si>
  <si>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</si>
  <si>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</si>
  <si>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</si>
  <si>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</si>
  <si>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</si>
  <si>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</si>
  <si>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</si>
  <si>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</si>
  <si>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</si>
  <si>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</si>
  <si>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</si>
  <si>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</si>
  <si>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</si>
  <si>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</si>
  <si>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</si>
  <si>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</si>
  <si>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</si>
  <si>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</si>
  <si>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Социальные выплаты гражданам, кроме публичных нормативных социальных выплат</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</si>
  <si>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</si>
  <si>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</si>
  <si>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</si>
  <si>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</si>
  <si>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</si>
  <si>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</si>
  <si>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</si>
  <si>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</si>
  <si>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</si>
  <si>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</si>
  <si>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</si>
  <si>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</si>
  <si>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</si>
  <si>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</si>
  <si>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</si>
  <si>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</si>
  <si>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</si>
  <si>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</si>
  <si>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</si>
  <si>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</si>
  <si>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</si>
  <si>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</si>
  <si>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</si>
  <si>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</si>
  <si>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</si>
  <si>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</si>
  <si>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</si>
  <si>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</si>
  <si>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</si>
  <si>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</si>
  <si>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</si>
  <si>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</si>
  <si>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</si>
  <si>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</si>
  <si>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</si>
  <si>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</si>
  <si>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</si>
  <si>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</si>
  <si>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</si>
  <si>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</si>
  <si>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</si>
  <si>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</si>
  <si>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</si>
  <si>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</si>
  <si>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</si>
  <si>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</si>
  <si>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</si>
  <si>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</si>
  <si>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</si>
  <si>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</si>
  <si>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</si>
  <si>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</si>
  <si>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</si>
  <si>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 (в рамках реализации федерального проекта "Финансовая поддержка семей при рождении детей" национального проекта "Демография")</t>
  </si>
  <si>
    <t>05 1 P1 5084F</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</si>
  <si>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</si>
  <si>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</si>
  <si>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</si>
  <si>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</si>
  <si>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</si>
  <si>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</si>
  <si>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</si>
  <si>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</si>
  <si>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Единовременная выплата материальной помощи в связи с рождением трех детей</t>
  </si>
  <si>
    <t>70 9 00 19009</t>
  </si>
  <si>
    <t>Подпрограмма "Развитие дошкольного образования на территории города Обнинска"</t>
  </si>
  <si>
    <t>01 1 00 00000</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</si>
  <si>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</si>
  <si>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</si>
  <si>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</si>
  <si>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</si>
  <si>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</si>
  <si>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</si>
  <si>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</si>
  <si>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</si>
  <si>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</si>
  <si>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</si>
  <si>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</si>
  <si>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</si>
  <si>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</si>
  <si>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</si>
  <si>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</si>
  <si>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</si>
  <si>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</si>
  <si>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</si>
  <si>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</si>
  <si>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</si>
  <si>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</si>
  <si>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</si>
  <si>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</si>
  <si>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Управление общего образования Администрации города Обнинска</t>
  </si>
  <si>
    <t>849</t>
  </si>
  <si>
    <t xml:space="preserve"> Образование</t>
  </si>
  <si>
    <t>Дошкольное образование</t>
  </si>
  <si>
    <t>0701</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</si>
  <si>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</si>
  <si>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</si>
  <si>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</si>
  <si>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</si>
  <si>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</si>
  <si>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</si>
  <si>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</si>
  <si>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</si>
  <si>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</si>
  <si>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</si>
  <si>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</si>
  <si>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</si>
  <si>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</si>
  <si>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</si>
  <si>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</si>
  <si>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</si>
  <si>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 (за счет средств областного бюджета на поощрение победителей ежегодного конкурсного отбора лучших общеобразовательных организаций)</t>
  </si>
  <si>
    <t>01 2 04 16101</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</si>
  <si>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</si>
  <si>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</si>
  <si>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</si>
  <si>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</si>
  <si>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</si>
  <si>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</si>
  <si>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</si>
  <si>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</si>
  <si>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</si>
  <si>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01 3 02 16217</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</si>
  <si>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</si>
  <si>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</si>
  <si>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</si>
  <si>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</si>
  <si>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</si>
  <si>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</si>
  <si>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 xml:space="preserve"> Молодежная политика </t>
  </si>
  <si>
    <t xml:space="preserve">Организация отдыха и оздоровления детей и подростков города Обнинска  </t>
  </si>
  <si>
    <t>Другие вопросы в области образования</t>
  </si>
  <si>
    <t>0709</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</si>
  <si>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</si>
  <si>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EВ 5179F</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</si>
  <si>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</si>
  <si>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</si>
  <si>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</si>
  <si>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</si>
  <si>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</si>
  <si>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</si>
  <si>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</si>
  <si>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</si>
  <si>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</si>
  <si>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</si>
  <si>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</si>
  <si>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</si>
  <si>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</si>
  <si>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</si>
  <si>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</si>
  <si>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</si>
  <si>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</si>
  <si>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</si>
  <si>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</si>
  <si>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70 4 00 S6233</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</si>
  <si>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</si>
  <si>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</si>
  <si>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</si>
  <si>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</si>
  <si>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</si>
  <si>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</si>
  <si>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</si>
  <si>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</si>
  <si>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</si>
  <si>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</si>
  <si>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</si>
  <si>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</si>
  <si>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</si>
  <si>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</si>
  <si>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</si>
  <si>
    <t>Приложение № 4  к решению Обнинского городского Собрания "О внесении изменений в решение Обнинского городского Собрания от 14.12.2021 № 01-21 "О бюджете города Обнинска на 2022 год и плановый период 2023 и 2024 годов"</t>
  </si>
  <si>
    <t>от 27.12.2022 № 01-35</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</si>
</sst>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1">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b/>
      <sz val="16"/>
      <name val="Times New Roman"/>
      <family val="1"/>
    </font>
    <font>
      <sz val="11"/>
      <name val="Times New Roman"/>
      <family val="1"/>
    </font>
    <font>
      <sz val="12"/>
      <color indexed="8"/>
      <name val="Times New Roman"/>
      <family val="0"/>
    </font>
    <font>
      <b/>
      <sz val="12"/>
      <name val="Times New Roman"/>
      <family val="1"/>
    </font>
    <font>
      <b/>
      <sz val="10"/>
      <name val="Times New Roman"/>
      <family val="1"/>
    </font>
    <font>
      <b/>
      <sz val="11"/>
      <name val="Times New Roman"/>
      <family val="1"/>
    </font>
    <font>
      <b/>
      <sz val="10"/>
      <name val="Arial Cyr"/>
      <family val="0"/>
    </font>
    <font>
      <b/>
      <sz val="12.5"/>
      <name val="Times New Roman"/>
      <family val="1"/>
    </font>
    <font>
      <b/>
      <sz val="12.5"/>
      <name val="Arial Cyr"/>
      <family val="0"/>
    </font>
    <font>
      <b/>
      <i/>
      <sz val="12"/>
      <name val="Times New Roman"/>
      <family val="1"/>
    </font>
    <font>
      <b/>
      <i/>
      <sz val="12"/>
      <color indexed="8"/>
      <name val="Times New Roman"/>
      <family val="1"/>
    </font>
    <font>
      <b/>
      <i/>
      <sz val="10"/>
      <name val="Arial Cyr"/>
      <family val="0"/>
    </font>
    <font>
      <sz val="10"/>
      <name val="Times New Roman"/>
      <family val="1"/>
    </font>
    <font>
      <b/>
      <sz val="12"/>
      <color indexed="8"/>
      <name val="Times New Roman"/>
      <family val="1"/>
    </font>
    <font>
      <i/>
      <sz val="10"/>
      <name val="Arial Cyr"/>
      <family val="0"/>
    </font>
    <font>
      <i/>
      <sz val="12"/>
      <name val="Times New Roman"/>
      <family val="1"/>
    </font>
    <font>
      <b/>
      <sz val="13"/>
      <name val="Times New Roman"/>
      <family val="1"/>
    </font>
    <font>
      <sz val="12.5"/>
      <name val="Times New Roman"/>
      <family val="1"/>
    </font>
    <font>
      <b/>
      <i/>
      <sz val="11"/>
      <name val="Times New Roman"/>
      <family val="1"/>
    </font>
    <font>
      <sz val="12.5"/>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6" fillId="44" borderId="22" applyNumberFormat="0" applyAlignment="0" applyProtection="0"/>
    <xf numFmtId="0" fontId="57" fillId="45" borderId="23" applyNumberFormat="0" applyAlignment="0" applyProtection="0"/>
    <xf numFmtId="0" fontId="58" fillId="45" borderId="22" applyNumberFormat="0" applyAlignment="0" applyProtection="0"/>
    <xf numFmtId="44" fontId="1" fillId="0" borderId="0" applyFill="0" applyBorder="0" applyAlignment="0" applyProtection="0"/>
    <xf numFmtId="42" fontId="1" fillId="0" borderId="0" applyFill="0" applyBorder="0" applyAlignment="0" applyProtection="0"/>
    <xf numFmtId="0" fontId="59" fillId="0" borderId="24" applyNumberFormat="0" applyFill="0" applyAlignment="0" applyProtection="0"/>
    <xf numFmtId="0" fontId="60" fillId="0" borderId="25" applyNumberFormat="0" applyFill="0" applyAlignment="0" applyProtection="0"/>
    <xf numFmtId="0" fontId="61" fillId="0" borderId="26" applyNumberFormat="0" applyFill="0" applyAlignment="0" applyProtection="0"/>
    <xf numFmtId="0" fontId="61" fillId="0" borderId="0" applyNumberFormat="0" applyFill="0" applyBorder="0" applyAlignment="0" applyProtection="0"/>
    <xf numFmtId="0" fontId="62" fillId="0" borderId="27" applyNumberFormat="0" applyFill="0" applyAlignment="0" applyProtection="0"/>
    <xf numFmtId="0" fontId="63" fillId="46" borderId="28" applyNumberFormat="0" applyAlignment="0" applyProtection="0"/>
    <xf numFmtId="0" fontId="64" fillId="0" borderId="0" applyNumberFormat="0" applyFill="0" applyBorder="0" applyAlignment="0" applyProtection="0"/>
    <xf numFmtId="0" fontId="65" fillId="47" borderId="0" applyNumberFormat="0" applyBorder="0" applyAlignment="0" applyProtection="0"/>
    <xf numFmtId="0" fontId="0" fillId="34" borderId="0">
      <alignment/>
      <protection/>
    </xf>
    <xf numFmtId="0" fontId="1" fillId="34" borderId="0">
      <alignment/>
      <protection/>
    </xf>
    <xf numFmtId="0" fontId="66" fillId="48" borderId="0" applyNumberFormat="0" applyBorder="0" applyAlignment="0" applyProtection="0"/>
    <xf numFmtId="0" fontId="67"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8" fillId="0" borderId="30" applyNumberFormat="0" applyFill="0" applyAlignment="0" applyProtection="0"/>
    <xf numFmtId="0" fontId="6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0" fillId="50" borderId="0" applyNumberFormat="0" applyBorder="0" applyAlignment="0" applyProtection="0"/>
  </cellStyleXfs>
  <cellXfs count="86">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26" fillId="0" borderId="0" xfId="0" applyFont="1" applyFill="1" applyAlignment="1">
      <alignment horizontal="right"/>
    </xf>
    <xf numFmtId="0" fontId="0" fillId="0" borderId="0" xfId="0" applyFill="1" applyAlignment="1">
      <alignment horizontal="left"/>
    </xf>
    <xf numFmtId="0" fontId="0" fillId="0" borderId="0" xfId="0" applyFill="1" applyAlignment="1">
      <alignment/>
    </xf>
    <xf numFmtId="0" fontId="27" fillId="0" borderId="0" xfId="0" applyFont="1" applyFill="1" applyBorder="1" applyAlignment="1">
      <alignment horizontal="center" wrapText="1"/>
    </xf>
    <xf numFmtId="0" fontId="28" fillId="0" borderId="0" xfId="0" applyFont="1" applyFill="1" applyBorder="1" applyAlignment="1">
      <alignment wrapText="1"/>
    </xf>
    <xf numFmtId="0" fontId="26" fillId="0" borderId="0" xfId="0" applyFont="1" applyFill="1" applyAlignment="1">
      <alignment/>
    </xf>
    <xf numFmtId="0" fontId="26" fillId="0" borderId="0" xfId="0" applyFont="1" applyFill="1" applyAlignment="1">
      <alignment/>
    </xf>
    <xf numFmtId="0" fontId="29" fillId="0" borderId="0" xfId="0" applyFont="1" applyFill="1" applyAlignment="1">
      <alignment horizontal="right"/>
    </xf>
    <xf numFmtId="0" fontId="29" fillId="0" borderId="0" xfId="0" applyFont="1" applyFill="1" applyAlignment="1">
      <alignment horizontal="right"/>
    </xf>
    <xf numFmtId="49" fontId="30" fillId="0" borderId="11"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3" fillId="0" borderId="0" xfId="0" applyFont="1" applyFill="1" applyAlignment="1">
      <alignment horizontal="left"/>
    </xf>
    <xf numFmtId="49" fontId="34" fillId="0" borderId="11" xfId="0" applyNumberFormat="1" applyFont="1" applyFill="1" applyBorder="1" applyAlignment="1">
      <alignment horizontal="left" wrapText="1"/>
    </xf>
    <xf numFmtId="49" fontId="34" fillId="0" borderId="11" xfId="0" applyNumberFormat="1" applyFont="1" applyFill="1" applyBorder="1" applyAlignment="1">
      <alignment horizontal="center"/>
    </xf>
    <xf numFmtId="49" fontId="34" fillId="0" borderId="11" xfId="0" applyNumberFormat="1" applyFont="1" applyFill="1" applyBorder="1" applyAlignment="1">
      <alignment horizontal="center" wrapText="1"/>
    </xf>
    <xf numFmtId="4" fontId="34" fillId="0" borderId="11" xfId="0" applyNumberFormat="1" applyFont="1" applyFill="1" applyBorder="1" applyAlignment="1">
      <alignment/>
    </xf>
    <xf numFmtId="4" fontId="30" fillId="0" borderId="11" xfId="0" applyNumberFormat="1" applyFont="1" applyFill="1" applyBorder="1" applyAlignment="1">
      <alignment horizontal="right"/>
    </xf>
    <xf numFmtId="0" fontId="35" fillId="0" borderId="0" xfId="0" applyFont="1" applyFill="1" applyAlignment="1">
      <alignment horizontal="left"/>
    </xf>
    <xf numFmtId="49" fontId="30" fillId="0" borderId="11" xfId="0" applyNumberFormat="1" applyFont="1" applyFill="1" applyBorder="1" applyAlignment="1">
      <alignment horizontal="left" wrapText="1"/>
    </xf>
    <xf numFmtId="49" fontId="30" fillId="0" borderId="11" xfId="0" applyNumberFormat="1" applyFont="1" applyFill="1" applyBorder="1" applyAlignment="1">
      <alignment horizontal="center" wrapText="1"/>
    </xf>
    <xf numFmtId="4" fontId="30" fillId="0" borderId="11" xfId="0" applyNumberFormat="1" applyFont="1" applyFill="1" applyBorder="1" applyAlignment="1">
      <alignment/>
    </xf>
    <xf numFmtId="49" fontId="36" fillId="0" borderId="11" xfId="0" applyNumberFormat="1" applyFont="1" applyFill="1" applyBorder="1" applyAlignment="1">
      <alignment horizontal="left" wrapText="1"/>
    </xf>
    <xf numFmtId="49" fontId="36" fillId="0" borderId="11" xfId="0" applyNumberFormat="1" applyFont="1" applyFill="1" applyBorder="1" applyAlignment="1">
      <alignment horizontal="center"/>
    </xf>
    <xf numFmtId="49" fontId="36" fillId="0" borderId="11" xfId="0" applyNumberFormat="1" applyFont="1" applyFill="1" applyBorder="1" applyAlignment="1">
      <alignment horizontal="center" wrapText="1"/>
    </xf>
    <xf numFmtId="4" fontId="36" fillId="0" borderId="11" xfId="0" applyNumberFormat="1" applyFont="1" applyFill="1" applyBorder="1" applyAlignment="1">
      <alignment/>
    </xf>
    <xf numFmtId="4" fontId="36" fillId="0" borderId="11" xfId="0" applyNumberFormat="1" applyFont="1" applyFill="1" applyBorder="1" applyAlignment="1">
      <alignment horizontal="right"/>
    </xf>
    <xf numFmtId="0" fontId="26" fillId="0" borderId="11" xfId="0" applyFont="1" applyFill="1" applyBorder="1" applyAlignment="1">
      <alignment horizontal="justify" wrapText="1"/>
    </xf>
    <xf numFmtId="49" fontId="26" fillId="0" borderId="11" xfId="0" applyNumberFormat="1" applyFont="1" applyFill="1" applyBorder="1" applyAlignment="1">
      <alignment horizontal="center"/>
    </xf>
    <xf numFmtId="49" fontId="26" fillId="0" borderId="11" xfId="0" applyNumberFormat="1" applyFont="1" applyFill="1" applyBorder="1" applyAlignment="1">
      <alignment horizontal="center" wrapText="1"/>
    </xf>
    <xf numFmtId="0" fontId="26" fillId="0" borderId="11" xfId="0" applyFont="1" applyFill="1" applyBorder="1" applyAlignment="1">
      <alignment horizontal="center" wrapText="1"/>
    </xf>
    <xf numFmtId="4" fontId="26" fillId="0" borderId="11" xfId="0" applyNumberFormat="1" applyFont="1" applyFill="1" applyBorder="1" applyAlignment="1">
      <alignment/>
    </xf>
    <xf numFmtId="4" fontId="26" fillId="0" borderId="11" xfId="0" applyNumberFormat="1" applyFont="1" applyFill="1" applyBorder="1" applyAlignment="1">
      <alignment horizontal="right"/>
    </xf>
    <xf numFmtId="0" fontId="26" fillId="0" borderId="11" xfId="0" applyFont="1" applyFill="1" applyBorder="1" applyAlignment="1">
      <alignment horizontal="left" wrapText="1"/>
    </xf>
    <xf numFmtId="4" fontId="26" fillId="0" borderId="11" xfId="0" applyNumberFormat="1" applyFont="1" applyFill="1" applyBorder="1" applyAlignment="1">
      <alignment wrapText="1"/>
    </xf>
    <xf numFmtId="0" fontId="0" fillId="0" borderId="0" xfId="0" applyFont="1" applyFill="1" applyAlignment="1">
      <alignment horizontal="left"/>
    </xf>
    <xf numFmtId="49" fontId="26" fillId="0" borderId="11" xfId="0" applyNumberFormat="1" applyFont="1" applyFill="1" applyBorder="1" applyAlignment="1">
      <alignment horizontal="left" wrapText="1"/>
    </xf>
    <xf numFmtId="0" fontId="29" fillId="0" borderId="11" xfId="0" applyFont="1" applyFill="1" applyBorder="1" applyAlignment="1">
      <alignment horizontal="left" wrapText="1"/>
    </xf>
    <xf numFmtId="4" fontId="26" fillId="0" borderId="11" xfId="0" applyNumberFormat="1" applyFont="1" applyFill="1" applyBorder="1" applyAlignment="1">
      <alignment horizontal="right" wrapText="1"/>
    </xf>
    <xf numFmtId="0" fontId="37" fillId="0" borderId="11" xfId="0" applyFont="1" applyFill="1" applyBorder="1" applyAlignment="1">
      <alignment horizontal="left" wrapText="1"/>
    </xf>
    <xf numFmtId="0" fontId="36" fillId="0" borderId="11" xfId="0" applyFont="1" applyFill="1" applyBorder="1" applyAlignment="1">
      <alignment horizontal="center" wrapText="1"/>
    </xf>
    <xf numFmtId="4" fontId="36" fillId="0" borderId="11" xfId="0" applyNumberFormat="1" applyFont="1" applyFill="1" applyBorder="1" applyAlignment="1">
      <alignment wrapText="1"/>
    </xf>
    <xf numFmtId="0" fontId="37" fillId="0" borderId="11" xfId="98" applyFont="1" applyFill="1" applyBorder="1" applyAlignment="1" applyProtection="1">
      <alignment wrapText="1"/>
      <protection/>
    </xf>
    <xf numFmtId="49" fontId="37" fillId="0" borderId="11" xfId="89" applyFont="1" applyFill="1" applyBorder="1" applyAlignment="1" applyProtection="1">
      <alignment horizontal="center" shrinkToFit="1"/>
      <protection/>
    </xf>
    <xf numFmtId="0" fontId="29" fillId="0" borderId="11" xfId="98" applyFont="1" applyFill="1" applyBorder="1" applyAlignment="1" applyProtection="1">
      <alignment wrapText="1"/>
      <protection/>
    </xf>
    <xf numFmtId="49" fontId="29" fillId="0" borderId="11" xfId="89" applyFont="1" applyFill="1" applyBorder="1" applyAlignment="1" applyProtection="1">
      <alignment horizontal="center" shrinkToFit="1"/>
      <protection/>
    </xf>
    <xf numFmtId="49" fontId="32" fillId="0" borderId="11" xfId="0" applyNumberFormat="1" applyFont="1" applyFill="1" applyBorder="1" applyAlignment="1">
      <alignment horizontal="center" wrapText="1"/>
    </xf>
    <xf numFmtId="0" fontId="26" fillId="0" borderId="11" xfId="0" applyFont="1" applyFill="1" applyBorder="1" applyAlignment="1">
      <alignment wrapText="1"/>
    </xf>
    <xf numFmtId="0" fontId="29" fillId="0" borderId="11" xfId="131" applyFont="1" applyFill="1" applyBorder="1" applyAlignment="1">
      <alignment horizontal="left" vertical="top" wrapText="1"/>
      <protection/>
    </xf>
    <xf numFmtId="0" fontId="38" fillId="0" borderId="0" xfId="0" applyFont="1" applyFill="1" applyAlignment="1">
      <alignment horizontal="left"/>
    </xf>
    <xf numFmtId="49" fontId="30" fillId="0" borderId="11" xfId="0" applyNumberFormat="1" applyFont="1" applyFill="1" applyBorder="1" applyAlignment="1">
      <alignment horizontal="center"/>
    </xf>
    <xf numFmtId="4" fontId="30" fillId="0" borderId="11" xfId="0" applyNumberFormat="1" applyFont="1" applyFill="1" applyBorder="1" applyAlignment="1">
      <alignment wrapText="1"/>
    </xf>
    <xf numFmtId="0" fontId="29" fillId="0" borderId="11" xfId="0" applyNumberFormat="1" applyFont="1" applyFill="1" applyBorder="1" applyAlignment="1">
      <alignment horizontal="left" wrapText="1"/>
    </xf>
    <xf numFmtId="0" fontId="30" fillId="0" borderId="11" xfId="0" applyFont="1" applyFill="1" applyBorder="1" applyAlignment="1">
      <alignment horizontal="center" wrapText="1"/>
    </xf>
    <xf numFmtId="0" fontId="36" fillId="0" borderId="11" xfId="0" applyFont="1" applyFill="1" applyBorder="1" applyAlignment="1">
      <alignment horizontal="left" wrapText="1"/>
    </xf>
    <xf numFmtId="4" fontId="36" fillId="0" borderId="11" xfId="0" applyNumberFormat="1" applyFont="1" applyFill="1" applyBorder="1" applyAlignment="1">
      <alignment horizontal="right" wrapText="1"/>
    </xf>
    <xf numFmtId="0" fontId="26" fillId="0" borderId="11" xfId="0" applyFont="1" applyFill="1" applyBorder="1" applyAlignment="1">
      <alignment horizontal="center"/>
    </xf>
    <xf numFmtId="0" fontId="29" fillId="0" borderId="11" xfId="130" applyFont="1" applyFill="1" applyBorder="1" applyAlignment="1">
      <alignment vertical="top" wrapText="1"/>
      <protection/>
    </xf>
    <xf numFmtId="0" fontId="39" fillId="0" borderId="0" xfId="0" applyFont="1" applyFill="1" applyAlignment="1">
      <alignment horizontal="left"/>
    </xf>
    <xf numFmtId="0" fontId="26" fillId="0" borderId="11" xfId="0" applyNumberFormat="1" applyFont="1" applyFill="1" applyBorder="1" applyAlignment="1">
      <alignment horizontal="left" wrapText="1"/>
    </xf>
    <xf numFmtId="0" fontId="40" fillId="0" borderId="11" xfId="0" applyFont="1" applyFill="1" applyBorder="1" applyAlignment="1">
      <alignment horizontal="left" wrapText="1"/>
    </xf>
    <xf numFmtId="0" fontId="41" fillId="0" borderId="0" xfId="0" applyFont="1" applyFill="1" applyAlignment="1">
      <alignment horizontal="left"/>
    </xf>
    <xf numFmtId="0" fontId="42" fillId="0" borderId="11" xfId="0" applyFont="1" applyFill="1" applyBorder="1" applyAlignment="1">
      <alignment horizontal="center" wrapText="1"/>
    </xf>
    <xf numFmtId="4" fontId="34" fillId="0" borderId="11" xfId="0" applyNumberFormat="1" applyFont="1" applyFill="1" applyBorder="1" applyAlignment="1">
      <alignment wrapText="1"/>
    </xf>
    <xf numFmtId="0" fontId="30" fillId="0" borderId="11" xfId="0" applyFont="1" applyFill="1" applyBorder="1" applyAlignment="1">
      <alignment horizontal="left" wrapText="1"/>
    </xf>
    <xf numFmtId="49" fontId="43" fillId="0" borderId="11" xfId="0" applyNumberFormat="1" applyFont="1" applyFill="1" applyBorder="1" applyAlignment="1">
      <alignment horizontal="center" wrapText="1"/>
    </xf>
    <xf numFmtId="0" fontId="29" fillId="0" borderId="11" xfId="110" applyNumberFormat="1" applyFont="1" applyFill="1" applyBorder="1" applyProtection="1">
      <alignment vertical="top" wrapText="1"/>
      <protection/>
    </xf>
    <xf numFmtId="0" fontId="34" fillId="0" borderId="11" xfId="0" applyFont="1" applyFill="1" applyBorder="1" applyAlignment="1">
      <alignment horizontal="center"/>
    </xf>
    <xf numFmtId="0" fontId="44" fillId="0" borderId="11" xfId="0" applyFont="1" applyFill="1" applyBorder="1" applyAlignment="1">
      <alignment horizontal="center" wrapText="1"/>
    </xf>
    <xf numFmtId="49" fontId="45" fillId="0" borderId="11" xfId="0" applyNumberFormat="1" applyFont="1" applyFill="1" applyBorder="1" applyAlignment="1">
      <alignment horizontal="center" wrapText="1"/>
    </xf>
    <xf numFmtId="0" fontId="30" fillId="0" borderId="11" xfId="0" applyFont="1" applyFill="1" applyBorder="1" applyAlignment="1">
      <alignment horizontal="center"/>
    </xf>
    <xf numFmtId="0" fontId="36" fillId="0" borderId="11" xfId="0" applyFont="1" applyFill="1" applyBorder="1" applyAlignment="1">
      <alignment horizontal="center"/>
    </xf>
    <xf numFmtId="0" fontId="36" fillId="0" borderId="11" xfId="0" applyNumberFormat="1" applyFont="1" applyFill="1" applyBorder="1" applyAlignment="1">
      <alignment horizontal="left" wrapText="1"/>
    </xf>
    <xf numFmtId="4" fontId="23" fillId="0" borderId="11" xfId="109">
      <alignment horizontal="right"/>
      <protection/>
    </xf>
    <xf numFmtId="0" fontId="46" fillId="0" borderId="0" xfId="0" applyFont="1" applyFill="1" applyAlignment="1">
      <alignment/>
    </xf>
    <xf numFmtId="0" fontId="31" fillId="0" borderId="0" xfId="0" applyFont="1" applyFill="1" applyAlignment="1">
      <alignment horizontal="left"/>
    </xf>
    <xf numFmtId="4" fontId="29" fillId="0" borderId="11" xfId="99" applyNumberFormat="1" applyFont="1" applyFill="1" applyBorder="1" applyProtection="1">
      <alignment horizontal="right" vertical="top" shrinkToFit="1"/>
      <protection locked="0"/>
    </xf>
    <xf numFmtId="0" fontId="34" fillId="0" borderId="11" xfId="0" applyFont="1" applyFill="1" applyBorder="1" applyAlignment="1">
      <alignment/>
    </xf>
    <xf numFmtId="0" fontId="44" fillId="0" borderId="11" xfId="0" applyFont="1" applyFill="1" applyBorder="1" applyAlignment="1">
      <alignment/>
    </xf>
    <xf numFmtId="0" fontId="44" fillId="0" borderId="11" xfId="0" applyFont="1" applyFill="1" applyBorder="1" applyAlignment="1">
      <alignment/>
    </xf>
    <xf numFmtId="0" fontId="28" fillId="0" borderId="0" xfId="0" applyFont="1" applyFill="1" applyBorder="1" applyAlignment="1">
      <alignment horizontal="left" wrapText="1"/>
    </xf>
    <xf numFmtId="0" fontId="27" fillId="0" borderId="0" xfId="0" applyFont="1" applyFill="1" applyBorder="1" applyAlignment="1">
      <alignment horizont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58"/>
  <sheetViews>
    <sheetView tabSelected="1" view="pageBreakPreview" zoomScaleSheetLayoutView="100" zoomScalePageLayoutView="0" workbookViewId="0" topLeftCell="A1">
      <selection activeCell="A2" sqref="A2"/>
    </sheetView>
  </sheetViews>
  <sheetFormatPr defaultColWidth="8.875" defaultRowHeight="12.75"/>
  <cols>
    <col min="1" max="1" width="59.375" style="1" customWidth="1"/>
    <col min="2" max="2" width="8.375" style="1" customWidth="1"/>
    <col min="3" max="3" width="8.25390625" style="1" customWidth="1"/>
    <col min="4" max="4" width="17.125" style="2" customWidth="1"/>
    <col min="5" max="5" width="10.375" style="2" customWidth="1"/>
    <col min="6" max="6" width="20.75390625" style="2" customWidth="1"/>
    <col min="7" max="7" width="19.00390625" style="2" customWidth="1"/>
    <col min="8" max="8" width="20.375" style="3" customWidth="1"/>
    <col min="9" max="254" width="8.375" style="4" customWidth="1"/>
    <col min="255" max="16384" width="8.875" style="5" customWidth="1"/>
  </cols>
  <sheetData>
    <row r="1" spans="1:8" ht="92.25" customHeight="1">
      <c r="A1" s="6"/>
      <c r="B1" s="6"/>
      <c r="C1" s="6"/>
      <c r="D1" s="7"/>
      <c r="E1" s="7"/>
      <c r="F1" s="7"/>
      <c r="G1" s="84" t="s">
        <v>685</v>
      </c>
      <c r="H1" s="84"/>
    </row>
    <row r="2" spans="1:8" ht="21.75" customHeight="1">
      <c r="A2" s="6"/>
      <c r="B2" s="6"/>
      <c r="C2" s="6"/>
      <c r="D2" s="7"/>
      <c r="E2" s="7"/>
      <c r="F2" s="7"/>
      <c r="G2" s="84" t="s">
        <v>686</v>
      </c>
      <c r="H2" s="84"/>
    </row>
    <row r="3" spans="1:7" ht="20.25">
      <c r="A3" s="6"/>
      <c r="B3" s="6"/>
      <c r="C3" s="6"/>
      <c r="D3" s="6"/>
      <c r="E3" s="6"/>
      <c r="F3" s="6"/>
      <c r="G3" s="6"/>
    </row>
    <row r="4" spans="1:8" ht="21.75" customHeight="1">
      <c r="A4" s="85" t="s">
        <v>0</v>
      </c>
      <c r="B4" s="85"/>
      <c r="C4" s="85"/>
      <c r="D4" s="85"/>
      <c r="E4" s="85"/>
      <c r="F4" s="85"/>
      <c r="G4" s="85"/>
      <c r="H4" s="85"/>
    </row>
    <row r="5" spans="1:7" ht="21.75" customHeight="1">
      <c r="A5" s="6"/>
      <c r="B5" s="6"/>
      <c r="C5" s="6"/>
      <c r="D5" s="6"/>
      <c r="E5" s="6"/>
      <c r="F5" s="6"/>
      <c r="G5" s="6"/>
    </row>
    <row r="6" spans="1:8" ht="15.75">
      <c r="A6" s="8"/>
      <c r="B6" s="9"/>
      <c r="C6" s="9"/>
      <c r="D6" s="8"/>
      <c r="E6" s="8"/>
      <c r="F6" s="8"/>
      <c r="G6" s="10"/>
      <c r="H6" s="11" t="s">
        <v>1</v>
      </c>
    </row>
    <row r="7" spans="1:8" s="16" customFormat="1" ht="71.25">
      <c r="A7" s="12" t="s">
        <v>2</v>
      </c>
      <c r="B7" s="13" t="s">
        <v>3</v>
      </c>
      <c r="C7" s="14" t="s">
        <v>4</v>
      </c>
      <c r="D7" s="14" t="s">
        <v>5</v>
      </c>
      <c r="E7" s="14" t="s">
        <v>6</v>
      </c>
      <c r="F7" s="15" t="s">
        <v>7</v>
      </c>
      <c r="G7" s="15" t="s">
        <v>8</v>
      </c>
      <c r="H7" s="15" t="s">
        <v>9</v>
      </c>
    </row>
    <row r="8" spans="1:8" s="22" customFormat="1" ht="49.5">
      <c r="A8" s="17" t="s">
        <v>10</v>
      </c>
      <c r="B8" s="18" t="s">
        <v>11</v>
      </c>
      <c r="C8" s="19"/>
      <c r="D8" s="19"/>
      <c r="E8" s="19"/>
      <c r="F8" s="20">
        <f>SUM(F9,F143,F170,F299,F431,F445,F458,F465,F498,F511,F518)</f>
        <v>3035456804.2999997</v>
      </c>
      <c r="G8" s="20">
        <f>SUM(G9,G143,G170,G299,G431,G445,G458,G465,G498,G511,G518)</f>
        <v>276028147.86</v>
      </c>
      <c r="H8" s="21">
        <f aca="true" t="shared" si="0" ref="H8:H116">SUM(F8:G8)</f>
        <v>3311484952.16</v>
      </c>
    </row>
    <row r="9" spans="1:8" s="16" customFormat="1" ht="15.75">
      <c r="A9" s="23" t="s">
        <v>12</v>
      </c>
      <c r="B9" s="24" t="s">
        <v>11</v>
      </c>
      <c r="C9" s="24" t="s">
        <v>13</v>
      </c>
      <c r="D9" s="24"/>
      <c r="E9" s="24"/>
      <c r="F9" s="25">
        <f>SUM(F10,F46,F40,F34)</f>
        <v>324359105</v>
      </c>
      <c r="G9" s="25">
        <f>SUM(G10,G46,G40,G34)</f>
        <v>30659035.700000003</v>
      </c>
      <c r="H9" s="21">
        <f t="shared" si="0"/>
        <v>355018140.7</v>
      </c>
    </row>
    <row r="10" spans="1:8" s="16" customFormat="1" ht="63">
      <c r="A10" s="26" t="s">
        <v>14</v>
      </c>
      <c r="B10" s="27" t="s">
        <v>11</v>
      </c>
      <c r="C10" s="28" t="s">
        <v>15</v>
      </c>
      <c r="D10" s="28"/>
      <c r="E10" s="28"/>
      <c r="F10" s="29">
        <f>F11</f>
        <v>201924913</v>
      </c>
      <c r="G10" s="29">
        <f>G11</f>
        <v>11179198</v>
      </c>
      <c r="H10" s="30">
        <f t="shared" si="0"/>
        <v>213104111</v>
      </c>
    </row>
    <row r="11" spans="1:8" s="16" customFormat="1" ht="15.75">
      <c r="A11" s="31" t="s">
        <v>16</v>
      </c>
      <c r="B11" s="32" t="s">
        <v>11</v>
      </c>
      <c r="C11" s="33" t="s">
        <v>15</v>
      </c>
      <c r="D11" s="34" t="s">
        <v>17</v>
      </c>
      <c r="E11" s="28"/>
      <c r="F11" s="35">
        <f>SUM(F12)</f>
        <v>201924913</v>
      </c>
      <c r="G11" s="35">
        <f>SUM(G12)</f>
        <v>11179198</v>
      </c>
      <c r="H11" s="36">
        <f t="shared" si="0"/>
        <v>213104111</v>
      </c>
    </row>
    <row r="12" spans="1:8" s="39" customFormat="1" ht="31.5">
      <c r="A12" s="37" t="s">
        <v>18</v>
      </c>
      <c r="B12" s="32" t="s">
        <v>11</v>
      </c>
      <c r="C12" s="33" t="s">
        <v>15</v>
      </c>
      <c r="D12" s="34" t="s">
        <v>19</v>
      </c>
      <c r="E12" s="34"/>
      <c r="F12" s="38">
        <f>SUM(F16,F19,F24,F13,F31)</f>
        <v>201924913</v>
      </c>
      <c r="G12" s="38">
        <f>SUM(G16,G19,G24,G13,G31)</f>
        <v>11179198</v>
      </c>
      <c r="H12" s="36">
        <f t="shared" si="0"/>
        <v>213104111</v>
      </c>
    </row>
    <row r="13" spans="1:8" s="39" customFormat="1" ht="55.5" customHeight="1">
      <c r="A13" s="37" t="s">
        <v>20</v>
      </c>
      <c r="B13" s="32" t="s">
        <v>11</v>
      </c>
      <c r="C13" s="33" t="s">
        <v>15</v>
      </c>
      <c r="D13" s="34" t="s">
        <v>21</v>
      </c>
      <c r="E13" s="34"/>
      <c r="F13" s="38">
        <f>F14</f>
        <v>0</v>
      </c>
      <c r="G13" s="38">
        <f>G14</f>
        <v>2456430</v>
      </c>
      <c r="H13" s="36">
        <f t="shared" si="0"/>
        <v>2456430</v>
      </c>
    </row>
    <row r="14" spans="1:8" s="39" customFormat="1" ht="78.75">
      <c r="A14" s="40" t="s">
        <v>22</v>
      </c>
      <c r="B14" s="32" t="s">
        <v>11</v>
      </c>
      <c r="C14" s="33" t="s">
        <v>15</v>
      </c>
      <c r="D14" s="34" t="s">
        <v>21</v>
      </c>
      <c r="E14" s="33" t="s">
        <v>23</v>
      </c>
      <c r="F14" s="38">
        <f>F15</f>
        <v>0</v>
      </c>
      <c r="G14" s="38">
        <f>G15</f>
        <v>2456430</v>
      </c>
      <c r="H14" s="36">
        <f t="shared" si="0"/>
        <v>2456430</v>
      </c>
    </row>
    <row r="15" spans="1:8" s="39" customFormat="1" ht="31.5">
      <c r="A15" s="40" t="s">
        <v>24</v>
      </c>
      <c r="B15" s="32" t="s">
        <v>11</v>
      </c>
      <c r="C15" s="33" t="s">
        <v>15</v>
      </c>
      <c r="D15" s="34" t="s">
        <v>21</v>
      </c>
      <c r="E15" s="33" t="s">
        <v>25</v>
      </c>
      <c r="F15" s="38">
        <v>0</v>
      </c>
      <c r="G15" s="38">
        <f>2140508+315922</f>
        <v>2456430</v>
      </c>
      <c r="H15" s="36">
        <f t="shared" si="0"/>
        <v>2456430</v>
      </c>
    </row>
    <row r="16" spans="1:8" s="39" customFormat="1" ht="21.75" customHeight="1">
      <c r="A16" s="41" t="s">
        <v>26</v>
      </c>
      <c r="B16" s="32" t="s">
        <v>11</v>
      </c>
      <c r="C16" s="33" t="s">
        <v>15</v>
      </c>
      <c r="D16" s="34" t="s">
        <v>27</v>
      </c>
      <c r="E16" s="33"/>
      <c r="F16" s="38">
        <f>F17</f>
        <v>429435</v>
      </c>
      <c r="G16" s="38">
        <f>G17</f>
        <v>0</v>
      </c>
      <c r="H16" s="36">
        <f t="shared" si="0"/>
        <v>429435</v>
      </c>
    </row>
    <row r="17" spans="1:8" s="39" customFormat="1" ht="31.5">
      <c r="A17" s="41" t="s">
        <v>28</v>
      </c>
      <c r="B17" s="32" t="s">
        <v>11</v>
      </c>
      <c r="C17" s="33" t="s">
        <v>15</v>
      </c>
      <c r="D17" s="34" t="s">
        <v>27</v>
      </c>
      <c r="E17" s="33" t="s">
        <v>29</v>
      </c>
      <c r="F17" s="42">
        <f>F18</f>
        <v>429435</v>
      </c>
      <c r="G17" s="42">
        <f>G18</f>
        <v>0</v>
      </c>
      <c r="H17" s="36">
        <f t="shared" si="0"/>
        <v>429435</v>
      </c>
    </row>
    <row r="18" spans="1:8" s="39" customFormat="1" ht="31.5">
      <c r="A18" s="41" t="s">
        <v>30</v>
      </c>
      <c r="B18" s="32" t="s">
        <v>11</v>
      </c>
      <c r="C18" s="33" t="s">
        <v>15</v>
      </c>
      <c r="D18" s="34" t="s">
        <v>27</v>
      </c>
      <c r="E18" s="33" t="s">
        <v>31</v>
      </c>
      <c r="F18" s="42">
        <v>429435</v>
      </c>
      <c r="G18" s="42">
        <v>0</v>
      </c>
      <c r="H18" s="36">
        <f t="shared" si="0"/>
        <v>429435</v>
      </c>
    </row>
    <row r="19" spans="1:8" s="39" customFormat="1" ht="31.5">
      <c r="A19" s="41" t="s">
        <v>32</v>
      </c>
      <c r="B19" s="32" t="s">
        <v>11</v>
      </c>
      <c r="C19" s="33" t="s">
        <v>15</v>
      </c>
      <c r="D19" s="34" t="s">
        <v>33</v>
      </c>
      <c r="E19" s="33"/>
      <c r="F19" s="42">
        <f>SUM(F20,F22)</f>
        <v>6395478</v>
      </c>
      <c r="G19" s="42">
        <f>SUM(G20,G22)</f>
        <v>16600</v>
      </c>
      <c r="H19" s="36">
        <f t="shared" si="0"/>
        <v>6412078</v>
      </c>
    </row>
    <row r="20" spans="1:8" s="39" customFormat="1" ht="78.75">
      <c r="A20" s="40" t="s">
        <v>22</v>
      </c>
      <c r="B20" s="32" t="s">
        <v>11</v>
      </c>
      <c r="C20" s="33" t="s">
        <v>15</v>
      </c>
      <c r="D20" s="34" t="s">
        <v>33</v>
      </c>
      <c r="E20" s="33" t="s">
        <v>23</v>
      </c>
      <c r="F20" s="42">
        <f>F21</f>
        <v>5854880</v>
      </c>
      <c r="G20" s="42">
        <f>G21</f>
        <v>-125476</v>
      </c>
      <c r="H20" s="36">
        <f t="shared" si="0"/>
        <v>5729404</v>
      </c>
    </row>
    <row r="21" spans="1:8" ht="31.5">
      <c r="A21" s="40" t="s">
        <v>24</v>
      </c>
      <c r="B21" s="32" t="s">
        <v>11</v>
      </c>
      <c r="C21" s="33" t="s">
        <v>15</v>
      </c>
      <c r="D21" s="34" t="s">
        <v>33</v>
      </c>
      <c r="E21" s="33" t="s">
        <v>25</v>
      </c>
      <c r="F21" s="42">
        <v>5854880</v>
      </c>
      <c r="G21" s="42">
        <v>-125476</v>
      </c>
      <c r="H21" s="36">
        <f t="shared" si="0"/>
        <v>5729404</v>
      </c>
    </row>
    <row r="22" spans="1:8" s="16" customFormat="1" ht="31.5">
      <c r="A22" s="41" t="s">
        <v>28</v>
      </c>
      <c r="B22" s="32" t="s">
        <v>11</v>
      </c>
      <c r="C22" s="33" t="s">
        <v>15</v>
      </c>
      <c r="D22" s="34" t="s">
        <v>33</v>
      </c>
      <c r="E22" s="33" t="s">
        <v>29</v>
      </c>
      <c r="F22" s="38">
        <f>F23</f>
        <v>540598</v>
      </c>
      <c r="G22" s="38">
        <f>G23</f>
        <v>142076</v>
      </c>
      <c r="H22" s="36">
        <f t="shared" si="0"/>
        <v>682674</v>
      </c>
    </row>
    <row r="23" spans="1:8" s="16" customFormat="1" ht="31.5">
      <c r="A23" s="41" t="s">
        <v>30</v>
      </c>
      <c r="B23" s="32" t="s">
        <v>11</v>
      </c>
      <c r="C23" s="33" t="s">
        <v>15</v>
      </c>
      <c r="D23" s="34" t="s">
        <v>33</v>
      </c>
      <c r="E23" s="33" t="s">
        <v>31</v>
      </c>
      <c r="F23" s="38">
        <v>540598</v>
      </c>
      <c r="G23" s="38">
        <f>125476+16600</f>
        <v>142076</v>
      </c>
      <c r="H23" s="36">
        <f t="shared" si="0"/>
        <v>682674</v>
      </c>
    </row>
    <row r="24" spans="1:8" s="16" customFormat="1" ht="47.25">
      <c r="A24" s="37" t="s">
        <v>34</v>
      </c>
      <c r="B24" s="32" t="s">
        <v>11</v>
      </c>
      <c r="C24" s="33" t="s">
        <v>15</v>
      </c>
      <c r="D24" s="34" t="s">
        <v>35</v>
      </c>
      <c r="E24" s="34"/>
      <c r="F24" s="38">
        <f>SUM(F25,F27,F29)</f>
        <v>195100000</v>
      </c>
      <c r="G24" s="38">
        <f>SUM(G25,G27,G29)</f>
        <v>6675239</v>
      </c>
      <c r="H24" s="36">
        <f t="shared" si="0"/>
        <v>201775239</v>
      </c>
    </row>
    <row r="25" spans="1:8" s="16" customFormat="1" ht="78.75">
      <c r="A25" s="40" t="s">
        <v>22</v>
      </c>
      <c r="B25" s="32" t="s">
        <v>11</v>
      </c>
      <c r="C25" s="33" t="s">
        <v>15</v>
      </c>
      <c r="D25" s="34" t="s">
        <v>35</v>
      </c>
      <c r="E25" s="33" t="s">
        <v>23</v>
      </c>
      <c r="F25" s="38">
        <f>F26</f>
        <v>183500000</v>
      </c>
      <c r="G25" s="38">
        <f>G26</f>
        <v>4490800</v>
      </c>
      <c r="H25" s="36">
        <f t="shared" si="0"/>
        <v>187990800</v>
      </c>
    </row>
    <row r="26" spans="1:8" s="16" customFormat="1" ht="31.5">
      <c r="A26" s="40" t="s">
        <v>24</v>
      </c>
      <c r="B26" s="32" t="s">
        <v>11</v>
      </c>
      <c r="C26" s="33" t="s">
        <v>15</v>
      </c>
      <c r="D26" s="34" t="s">
        <v>35</v>
      </c>
      <c r="E26" s="33" t="s">
        <v>25</v>
      </c>
      <c r="F26" s="38">
        <v>183500000</v>
      </c>
      <c r="G26" s="38">
        <f>-19000-200000-400000-4000+5113800</f>
        <v>4490800</v>
      </c>
      <c r="H26" s="36">
        <f t="shared" si="0"/>
        <v>187990800</v>
      </c>
    </row>
    <row r="27" spans="1:8" s="16" customFormat="1" ht="31.5">
      <c r="A27" s="41" t="s">
        <v>28</v>
      </c>
      <c r="B27" s="32" t="s">
        <v>11</v>
      </c>
      <c r="C27" s="33" t="s">
        <v>15</v>
      </c>
      <c r="D27" s="34" t="s">
        <v>35</v>
      </c>
      <c r="E27" s="33" t="s">
        <v>29</v>
      </c>
      <c r="F27" s="38">
        <f>F28</f>
        <v>11500000</v>
      </c>
      <c r="G27" s="38">
        <f>G28</f>
        <v>2184439</v>
      </c>
      <c r="H27" s="36">
        <f t="shared" si="0"/>
        <v>13684439</v>
      </c>
    </row>
    <row r="28" spans="1:8" s="16" customFormat="1" ht="31.5">
      <c r="A28" s="41" t="s">
        <v>30</v>
      </c>
      <c r="B28" s="32" t="s">
        <v>11</v>
      </c>
      <c r="C28" s="33" t="s">
        <v>15</v>
      </c>
      <c r="D28" s="34" t="s">
        <v>35</v>
      </c>
      <c r="E28" s="33" t="s">
        <v>31</v>
      </c>
      <c r="F28" s="38">
        <v>11500000</v>
      </c>
      <c r="G28" s="38">
        <f>19000+252155.02+1132420+400000+323999.98+1412411+600000-1955547</f>
        <v>2184439</v>
      </c>
      <c r="H28" s="36">
        <f t="shared" si="0"/>
        <v>13684439</v>
      </c>
    </row>
    <row r="29" spans="1:8" s="39" customFormat="1" ht="15.75">
      <c r="A29" s="41" t="s">
        <v>36</v>
      </c>
      <c r="B29" s="32" t="s">
        <v>11</v>
      </c>
      <c r="C29" s="33" t="s">
        <v>15</v>
      </c>
      <c r="D29" s="34" t="s">
        <v>35</v>
      </c>
      <c r="E29" s="33" t="s">
        <v>37</v>
      </c>
      <c r="F29" s="38">
        <f>F30</f>
        <v>100000</v>
      </c>
      <c r="G29" s="38">
        <f>G30</f>
        <v>0</v>
      </c>
      <c r="H29" s="36">
        <f t="shared" si="0"/>
        <v>100000</v>
      </c>
    </row>
    <row r="30" spans="1:8" s="16" customFormat="1" ht="15.75">
      <c r="A30" s="41" t="s">
        <v>38</v>
      </c>
      <c r="B30" s="32" t="s">
        <v>11</v>
      </c>
      <c r="C30" s="33" t="s">
        <v>15</v>
      </c>
      <c r="D30" s="34" t="s">
        <v>35</v>
      </c>
      <c r="E30" s="33" t="s">
        <v>39</v>
      </c>
      <c r="F30" s="38">
        <v>100000</v>
      </c>
      <c r="G30" s="38">
        <v>0</v>
      </c>
      <c r="H30" s="36">
        <f t="shared" si="0"/>
        <v>100000</v>
      </c>
    </row>
    <row r="31" spans="1:8" s="16" customFormat="1" ht="31.5">
      <c r="A31" s="41" t="s">
        <v>40</v>
      </c>
      <c r="B31" s="32" t="s">
        <v>11</v>
      </c>
      <c r="C31" s="33" t="s">
        <v>15</v>
      </c>
      <c r="D31" s="34" t="s">
        <v>41</v>
      </c>
      <c r="E31" s="33"/>
      <c r="F31" s="38">
        <f>F32</f>
        <v>0</v>
      </c>
      <c r="G31" s="38">
        <f>G32</f>
        <v>2030929</v>
      </c>
      <c r="H31" s="36">
        <f t="shared" si="0"/>
        <v>2030929</v>
      </c>
    </row>
    <row r="32" spans="1:8" s="16" customFormat="1" ht="78.75">
      <c r="A32" s="40" t="s">
        <v>22</v>
      </c>
      <c r="B32" s="32" t="s">
        <v>11</v>
      </c>
      <c r="C32" s="33" t="s">
        <v>15</v>
      </c>
      <c r="D32" s="34" t="s">
        <v>41</v>
      </c>
      <c r="E32" s="33" t="s">
        <v>23</v>
      </c>
      <c r="F32" s="38">
        <f>F33</f>
        <v>0</v>
      </c>
      <c r="G32" s="38">
        <f>G33</f>
        <v>2030929</v>
      </c>
      <c r="H32" s="36">
        <f t="shared" si="0"/>
        <v>2030929</v>
      </c>
    </row>
    <row r="33" spans="1:8" s="16" customFormat="1" ht="31.5">
      <c r="A33" s="40" t="s">
        <v>24</v>
      </c>
      <c r="B33" s="32" t="s">
        <v>11</v>
      </c>
      <c r="C33" s="33" t="s">
        <v>15</v>
      </c>
      <c r="D33" s="34" t="s">
        <v>41</v>
      </c>
      <c r="E33" s="33" t="s">
        <v>25</v>
      </c>
      <c r="F33" s="38">
        <v>0</v>
      </c>
      <c r="G33" s="38">
        <v>2030929</v>
      </c>
      <c r="H33" s="36">
        <f t="shared" si="0"/>
        <v>2030929</v>
      </c>
    </row>
    <row r="34" spans="1:8" s="16" customFormat="1" ht="15.75">
      <c r="A34" s="43" t="s">
        <v>42</v>
      </c>
      <c r="B34" s="27" t="s">
        <v>11</v>
      </c>
      <c r="C34" s="28" t="s">
        <v>43</v>
      </c>
      <c r="D34" s="44"/>
      <c r="E34" s="28"/>
      <c r="F34" s="45">
        <f aca="true" t="shared" si="1" ref="F34:G38">F35</f>
        <v>249774</v>
      </c>
      <c r="G34" s="45">
        <f t="shared" si="1"/>
        <v>0</v>
      </c>
      <c r="H34" s="30">
        <f t="shared" si="0"/>
        <v>249774</v>
      </c>
    </row>
    <row r="35" spans="1:8" s="16" customFormat="1" ht="15.75">
      <c r="A35" s="31" t="s">
        <v>16</v>
      </c>
      <c r="B35" s="32" t="s">
        <v>11</v>
      </c>
      <c r="C35" s="33" t="s">
        <v>43</v>
      </c>
      <c r="D35" s="34" t="s">
        <v>17</v>
      </c>
      <c r="E35" s="33"/>
      <c r="F35" s="38">
        <f t="shared" si="1"/>
        <v>249774</v>
      </c>
      <c r="G35" s="38">
        <f t="shared" si="1"/>
        <v>0</v>
      </c>
      <c r="H35" s="36">
        <f t="shared" si="0"/>
        <v>249774</v>
      </c>
    </row>
    <row r="36" spans="1:8" s="16" customFormat="1" ht="47.25">
      <c r="A36" s="37" t="s">
        <v>44</v>
      </c>
      <c r="B36" s="32" t="s">
        <v>11</v>
      </c>
      <c r="C36" s="33" t="s">
        <v>43</v>
      </c>
      <c r="D36" s="34" t="s">
        <v>45</v>
      </c>
      <c r="E36" s="34"/>
      <c r="F36" s="38">
        <f t="shared" si="1"/>
        <v>249774</v>
      </c>
      <c r="G36" s="38">
        <f t="shared" si="1"/>
        <v>0</v>
      </c>
      <c r="H36" s="36">
        <f t="shared" si="0"/>
        <v>249774</v>
      </c>
    </row>
    <row r="37" spans="1:8" s="16" customFormat="1" ht="63">
      <c r="A37" s="37" t="s">
        <v>46</v>
      </c>
      <c r="B37" s="32" t="s">
        <v>11</v>
      </c>
      <c r="C37" s="33" t="s">
        <v>43</v>
      </c>
      <c r="D37" s="34" t="s">
        <v>47</v>
      </c>
      <c r="E37" s="33"/>
      <c r="F37" s="38">
        <f t="shared" si="1"/>
        <v>249774</v>
      </c>
      <c r="G37" s="38">
        <f t="shared" si="1"/>
        <v>0</v>
      </c>
      <c r="H37" s="36">
        <f t="shared" si="0"/>
        <v>249774</v>
      </c>
    </row>
    <row r="38" spans="1:8" s="16" customFormat="1" ht="31.5">
      <c r="A38" s="41" t="s">
        <v>48</v>
      </c>
      <c r="B38" s="32" t="s">
        <v>11</v>
      </c>
      <c r="C38" s="33" t="s">
        <v>43</v>
      </c>
      <c r="D38" s="34" t="s">
        <v>47</v>
      </c>
      <c r="E38" s="33" t="s">
        <v>29</v>
      </c>
      <c r="F38" s="38">
        <f t="shared" si="1"/>
        <v>249774</v>
      </c>
      <c r="G38" s="38">
        <f t="shared" si="1"/>
        <v>0</v>
      </c>
      <c r="H38" s="36">
        <f t="shared" si="0"/>
        <v>249774</v>
      </c>
    </row>
    <row r="39" spans="1:8" s="16" customFormat="1" ht="31.5">
      <c r="A39" s="41" t="s">
        <v>30</v>
      </c>
      <c r="B39" s="32" t="s">
        <v>11</v>
      </c>
      <c r="C39" s="33" t="s">
        <v>43</v>
      </c>
      <c r="D39" s="34" t="s">
        <v>47</v>
      </c>
      <c r="E39" s="33" t="s">
        <v>31</v>
      </c>
      <c r="F39" s="38">
        <v>249774</v>
      </c>
      <c r="G39" s="38">
        <v>0</v>
      </c>
      <c r="H39" s="36">
        <f t="shared" si="0"/>
        <v>249774</v>
      </c>
    </row>
    <row r="40" spans="1:8" s="16" customFormat="1" ht="15.75">
      <c r="A40" s="46" t="s">
        <v>49</v>
      </c>
      <c r="B40" s="47" t="s">
        <v>11</v>
      </c>
      <c r="C40" s="47" t="s">
        <v>50</v>
      </c>
      <c r="D40" s="47"/>
      <c r="E40" s="47"/>
      <c r="F40" s="45">
        <f aca="true" t="shared" si="2" ref="F40:G44">F41</f>
        <v>687758</v>
      </c>
      <c r="G40" s="45">
        <f t="shared" si="2"/>
        <v>242618</v>
      </c>
      <c r="H40" s="30">
        <f t="shared" si="0"/>
        <v>930376</v>
      </c>
    </row>
    <row r="41" spans="1:8" s="16" customFormat="1" ht="15.75">
      <c r="A41" s="48" t="s">
        <v>16</v>
      </c>
      <c r="B41" s="49" t="s">
        <v>11</v>
      </c>
      <c r="C41" s="49" t="s">
        <v>50</v>
      </c>
      <c r="D41" s="49" t="s">
        <v>17</v>
      </c>
      <c r="E41" s="49"/>
      <c r="F41" s="38">
        <f t="shared" si="2"/>
        <v>687758</v>
      </c>
      <c r="G41" s="38">
        <f t="shared" si="2"/>
        <v>242618</v>
      </c>
      <c r="H41" s="36">
        <f t="shared" si="0"/>
        <v>930376</v>
      </c>
    </row>
    <row r="42" spans="1:8" s="16" customFormat="1" ht="47.25">
      <c r="A42" s="48" t="s">
        <v>51</v>
      </c>
      <c r="B42" s="49" t="s">
        <v>11</v>
      </c>
      <c r="C42" s="49" t="s">
        <v>50</v>
      </c>
      <c r="D42" s="49" t="s">
        <v>52</v>
      </c>
      <c r="E42" s="49"/>
      <c r="F42" s="38">
        <f t="shared" si="2"/>
        <v>687758</v>
      </c>
      <c r="G42" s="38">
        <f t="shared" si="2"/>
        <v>242618</v>
      </c>
      <c r="H42" s="36">
        <f t="shared" si="0"/>
        <v>930376</v>
      </c>
    </row>
    <row r="43" spans="1:8" s="16" customFormat="1" ht="31.5">
      <c r="A43" s="48" t="s">
        <v>53</v>
      </c>
      <c r="B43" s="49" t="s">
        <v>11</v>
      </c>
      <c r="C43" s="49" t="s">
        <v>50</v>
      </c>
      <c r="D43" s="49" t="s">
        <v>54</v>
      </c>
      <c r="E43" s="49"/>
      <c r="F43" s="38">
        <f t="shared" si="2"/>
        <v>687758</v>
      </c>
      <c r="G43" s="38">
        <f t="shared" si="2"/>
        <v>242618</v>
      </c>
      <c r="H43" s="36">
        <f t="shared" si="0"/>
        <v>930376</v>
      </c>
    </row>
    <row r="44" spans="1:8" s="16" customFormat="1" ht="15.75">
      <c r="A44" s="48" t="s">
        <v>36</v>
      </c>
      <c r="B44" s="49" t="s">
        <v>11</v>
      </c>
      <c r="C44" s="49" t="s">
        <v>50</v>
      </c>
      <c r="D44" s="49" t="s">
        <v>54</v>
      </c>
      <c r="E44" s="49" t="s">
        <v>37</v>
      </c>
      <c r="F44" s="38">
        <f t="shared" si="2"/>
        <v>687758</v>
      </c>
      <c r="G44" s="38">
        <f t="shared" si="2"/>
        <v>242618</v>
      </c>
      <c r="H44" s="36">
        <f t="shared" si="0"/>
        <v>930376</v>
      </c>
    </row>
    <row r="45" spans="1:8" s="16" customFormat="1" ht="15.75">
      <c r="A45" s="48" t="s">
        <v>55</v>
      </c>
      <c r="B45" s="49" t="s">
        <v>11</v>
      </c>
      <c r="C45" s="49" t="s">
        <v>50</v>
      </c>
      <c r="D45" s="49" t="s">
        <v>54</v>
      </c>
      <c r="E45" s="49" t="s">
        <v>56</v>
      </c>
      <c r="F45" s="42">
        <v>687758</v>
      </c>
      <c r="G45" s="42">
        <f>35000+207618</f>
        <v>242618</v>
      </c>
      <c r="H45" s="36">
        <f t="shared" si="0"/>
        <v>930376</v>
      </c>
    </row>
    <row r="46" spans="1:8" s="16" customFormat="1" ht="15.75">
      <c r="A46" s="26" t="s">
        <v>57</v>
      </c>
      <c r="B46" s="27" t="s">
        <v>11</v>
      </c>
      <c r="C46" s="28" t="s">
        <v>58</v>
      </c>
      <c r="D46" s="50"/>
      <c r="E46" s="50"/>
      <c r="F46" s="45">
        <f>SUM(F47,F51,F64,F75,F100,F60)</f>
        <v>121496660</v>
      </c>
      <c r="G46" s="45">
        <f>SUM(G47,G51,G64,G75,G100,G60)</f>
        <v>19237219.700000003</v>
      </c>
      <c r="H46" s="30">
        <f t="shared" si="0"/>
        <v>140733879.7</v>
      </c>
    </row>
    <row r="47" spans="1:8" s="16" customFormat="1" ht="47.25">
      <c r="A47" s="37" t="s">
        <v>59</v>
      </c>
      <c r="B47" s="32" t="s">
        <v>11</v>
      </c>
      <c r="C47" s="32" t="s">
        <v>58</v>
      </c>
      <c r="D47" s="34" t="s">
        <v>60</v>
      </c>
      <c r="E47" s="50"/>
      <c r="F47" s="38">
        <f>SUM(F48)</f>
        <v>9000000</v>
      </c>
      <c r="G47" s="38">
        <f>SUM(G48)</f>
        <v>906597.59</v>
      </c>
      <c r="H47" s="36">
        <f t="shared" si="0"/>
        <v>9906597.59</v>
      </c>
    </row>
    <row r="48" spans="1:8" s="16" customFormat="1" ht="31.5">
      <c r="A48" s="37" t="s">
        <v>61</v>
      </c>
      <c r="B48" s="32" t="s">
        <v>11</v>
      </c>
      <c r="C48" s="32" t="s">
        <v>58</v>
      </c>
      <c r="D48" s="34" t="s">
        <v>62</v>
      </c>
      <c r="E48" s="50"/>
      <c r="F48" s="38">
        <f>F49</f>
        <v>9000000</v>
      </c>
      <c r="G48" s="38">
        <f>G49</f>
        <v>906597.59</v>
      </c>
      <c r="H48" s="36">
        <f t="shared" si="0"/>
        <v>9906597.59</v>
      </c>
    </row>
    <row r="49" spans="1:8" s="16" customFormat="1" ht="31.5">
      <c r="A49" s="41" t="s">
        <v>48</v>
      </c>
      <c r="B49" s="32" t="s">
        <v>11</v>
      </c>
      <c r="C49" s="32" t="s">
        <v>58</v>
      </c>
      <c r="D49" s="34" t="s">
        <v>62</v>
      </c>
      <c r="E49" s="33" t="s">
        <v>29</v>
      </c>
      <c r="F49" s="38">
        <f>F50</f>
        <v>9000000</v>
      </c>
      <c r="G49" s="38">
        <f>G50</f>
        <v>906597.59</v>
      </c>
      <c r="H49" s="36">
        <f t="shared" si="0"/>
        <v>9906597.59</v>
      </c>
    </row>
    <row r="50" spans="1:8" s="16" customFormat="1" ht="31.5">
      <c r="A50" s="41" t="s">
        <v>30</v>
      </c>
      <c r="B50" s="32" t="s">
        <v>11</v>
      </c>
      <c r="C50" s="32" t="s">
        <v>58</v>
      </c>
      <c r="D50" s="34" t="s">
        <v>62</v>
      </c>
      <c r="E50" s="33" t="s">
        <v>31</v>
      </c>
      <c r="F50" s="38">
        <v>9000000</v>
      </c>
      <c r="G50" s="38">
        <v>906597.59</v>
      </c>
      <c r="H50" s="36">
        <f t="shared" si="0"/>
        <v>9906597.59</v>
      </c>
    </row>
    <row r="51" spans="1:8" s="16" customFormat="1" ht="31.5">
      <c r="A51" s="37" t="s">
        <v>63</v>
      </c>
      <c r="B51" s="32" t="s">
        <v>11</v>
      </c>
      <c r="C51" s="33" t="s">
        <v>58</v>
      </c>
      <c r="D51" s="34" t="s">
        <v>64</v>
      </c>
      <c r="E51" s="34"/>
      <c r="F51" s="38">
        <f>SUM(F52)</f>
        <v>55871000</v>
      </c>
      <c r="G51" s="38">
        <f>SUM(G52)</f>
        <v>13663604.22</v>
      </c>
      <c r="H51" s="36">
        <f t="shared" si="0"/>
        <v>69534604.22</v>
      </c>
    </row>
    <row r="52" spans="1:8" s="16" customFormat="1" ht="15.75">
      <c r="A52" s="51" t="s">
        <v>65</v>
      </c>
      <c r="B52" s="32" t="s">
        <v>11</v>
      </c>
      <c r="C52" s="33" t="s">
        <v>58</v>
      </c>
      <c r="D52" s="34" t="s">
        <v>66</v>
      </c>
      <c r="E52" s="34"/>
      <c r="F52" s="38">
        <f>SUM(F53)</f>
        <v>55871000</v>
      </c>
      <c r="G52" s="38">
        <f>SUM(G53)</f>
        <v>13663604.22</v>
      </c>
      <c r="H52" s="36">
        <f t="shared" si="0"/>
        <v>69534604.22</v>
      </c>
    </row>
    <row r="53" spans="1:8" s="16" customFormat="1" ht="15.75">
      <c r="A53" s="51" t="s">
        <v>67</v>
      </c>
      <c r="B53" s="32" t="s">
        <v>11</v>
      </c>
      <c r="C53" s="33" t="s">
        <v>58</v>
      </c>
      <c r="D53" s="34" t="s">
        <v>68</v>
      </c>
      <c r="E53" s="34"/>
      <c r="F53" s="38">
        <f>SUM(F54,F56,F58)</f>
        <v>55871000</v>
      </c>
      <c r="G53" s="38">
        <f>SUM(G54,G56,G58)</f>
        <v>13663604.22</v>
      </c>
      <c r="H53" s="36">
        <f t="shared" si="0"/>
        <v>69534604.22</v>
      </c>
    </row>
    <row r="54" spans="1:8" s="39" customFormat="1" ht="78.75">
      <c r="A54" s="40" t="s">
        <v>22</v>
      </c>
      <c r="B54" s="32" t="s">
        <v>11</v>
      </c>
      <c r="C54" s="33" t="s">
        <v>58</v>
      </c>
      <c r="D54" s="34" t="s">
        <v>68</v>
      </c>
      <c r="E54" s="34">
        <v>100</v>
      </c>
      <c r="F54" s="38">
        <f>F55</f>
        <v>28300000</v>
      </c>
      <c r="G54" s="38">
        <f>G55</f>
        <v>1454810</v>
      </c>
      <c r="H54" s="36">
        <f t="shared" si="0"/>
        <v>29754810</v>
      </c>
    </row>
    <row r="55" spans="1:8" s="16" customFormat="1" ht="15.75">
      <c r="A55" s="40" t="s">
        <v>69</v>
      </c>
      <c r="B55" s="32" t="s">
        <v>11</v>
      </c>
      <c r="C55" s="33" t="s">
        <v>58</v>
      </c>
      <c r="D55" s="34" t="s">
        <v>68</v>
      </c>
      <c r="E55" s="34">
        <v>110</v>
      </c>
      <c r="F55" s="38">
        <v>28300000</v>
      </c>
      <c r="G55" s="38">
        <f>664280+790530</f>
        <v>1454810</v>
      </c>
      <c r="H55" s="36">
        <f t="shared" si="0"/>
        <v>29754810</v>
      </c>
    </row>
    <row r="56" spans="1:8" s="16" customFormat="1" ht="31.5">
      <c r="A56" s="41" t="s">
        <v>28</v>
      </c>
      <c r="B56" s="32" t="s">
        <v>11</v>
      </c>
      <c r="C56" s="33" t="s">
        <v>58</v>
      </c>
      <c r="D56" s="34" t="s">
        <v>68</v>
      </c>
      <c r="E56" s="34">
        <v>200</v>
      </c>
      <c r="F56" s="38">
        <f>F57</f>
        <v>27371000</v>
      </c>
      <c r="G56" s="38">
        <f>G57</f>
        <v>12245794.22</v>
      </c>
      <c r="H56" s="36">
        <f t="shared" si="0"/>
        <v>39616794.22</v>
      </c>
    </row>
    <row r="57" spans="1:8" s="16" customFormat="1" ht="31.5">
      <c r="A57" s="41" t="s">
        <v>30</v>
      </c>
      <c r="B57" s="32" t="s">
        <v>11</v>
      </c>
      <c r="C57" s="33" t="s">
        <v>58</v>
      </c>
      <c r="D57" s="34" t="s">
        <v>68</v>
      </c>
      <c r="E57" s="34">
        <v>240</v>
      </c>
      <c r="F57" s="38">
        <v>27371000</v>
      </c>
      <c r="G57" s="38">
        <f>9029282-100000+3937000+683467-513424.78-790530</f>
        <v>12245794.22</v>
      </c>
      <c r="H57" s="36">
        <f t="shared" si="0"/>
        <v>39616794.22</v>
      </c>
    </row>
    <row r="58" spans="1:8" s="16" customFormat="1" ht="15.75">
      <c r="A58" s="41" t="s">
        <v>36</v>
      </c>
      <c r="B58" s="32" t="s">
        <v>11</v>
      </c>
      <c r="C58" s="33" t="s">
        <v>58</v>
      </c>
      <c r="D58" s="34" t="s">
        <v>68</v>
      </c>
      <c r="E58" s="34">
        <v>800</v>
      </c>
      <c r="F58" s="38">
        <f>F59</f>
        <v>200000</v>
      </c>
      <c r="G58" s="38">
        <f>G59</f>
        <v>-37000</v>
      </c>
      <c r="H58" s="36">
        <f t="shared" si="0"/>
        <v>163000</v>
      </c>
    </row>
    <row r="59" spans="1:8" s="16" customFormat="1" ht="15.75">
      <c r="A59" s="41" t="s">
        <v>38</v>
      </c>
      <c r="B59" s="32" t="s">
        <v>11</v>
      </c>
      <c r="C59" s="33" t="s">
        <v>58</v>
      </c>
      <c r="D59" s="34" t="s">
        <v>68</v>
      </c>
      <c r="E59" s="34">
        <v>850</v>
      </c>
      <c r="F59" s="38">
        <v>200000</v>
      </c>
      <c r="G59" s="38">
        <f>-37000</f>
        <v>-37000</v>
      </c>
      <c r="H59" s="36">
        <f t="shared" si="0"/>
        <v>163000</v>
      </c>
    </row>
    <row r="60" spans="1:8" s="16" customFormat="1" ht="31.5">
      <c r="A60" s="41" t="s">
        <v>70</v>
      </c>
      <c r="B60" s="32" t="s">
        <v>11</v>
      </c>
      <c r="C60" s="33" t="s">
        <v>58</v>
      </c>
      <c r="D60" s="34" t="s">
        <v>71</v>
      </c>
      <c r="E60" s="34"/>
      <c r="F60" s="42">
        <f aca="true" t="shared" si="3" ref="F60:G62">F61</f>
        <v>518000</v>
      </c>
      <c r="G60" s="42">
        <f t="shared" si="3"/>
        <v>215420</v>
      </c>
      <c r="H60" s="36">
        <f t="shared" si="0"/>
        <v>733420</v>
      </c>
    </row>
    <row r="61" spans="1:8" s="16" customFormat="1" ht="31.5">
      <c r="A61" s="41" t="s">
        <v>72</v>
      </c>
      <c r="B61" s="32" t="s">
        <v>11</v>
      </c>
      <c r="C61" s="33" t="s">
        <v>58</v>
      </c>
      <c r="D61" s="34" t="s">
        <v>73</v>
      </c>
      <c r="E61" s="34"/>
      <c r="F61" s="42">
        <f t="shared" si="3"/>
        <v>518000</v>
      </c>
      <c r="G61" s="42">
        <f t="shared" si="3"/>
        <v>215420</v>
      </c>
      <c r="H61" s="36">
        <f t="shared" si="0"/>
        <v>733420</v>
      </c>
    </row>
    <row r="62" spans="1:8" s="16" customFormat="1" ht="31.5">
      <c r="A62" s="41" t="s">
        <v>74</v>
      </c>
      <c r="B62" s="32" t="s">
        <v>11</v>
      </c>
      <c r="C62" s="33" t="s">
        <v>58</v>
      </c>
      <c r="D62" s="34" t="s">
        <v>73</v>
      </c>
      <c r="E62" s="34">
        <v>600</v>
      </c>
      <c r="F62" s="42">
        <f t="shared" si="3"/>
        <v>518000</v>
      </c>
      <c r="G62" s="42">
        <f t="shared" si="3"/>
        <v>215420</v>
      </c>
      <c r="H62" s="36">
        <f t="shared" si="0"/>
        <v>733420</v>
      </c>
    </row>
    <row r="63" spans="1:8" s="16" customFormat="1" ht="15.75">
      <c r="A63" s="41" t="s">
        <v>75</v>
      </c>
      <c r="B63" s="32" t="s">
        <v>11</v>
      </c>
      <c r="C63" s="33" t="s">
        <v>58</v>
      </c>
      <c r="D63" s="34" t="s">
        <v>73</v>
      </c>
      <c r="E63" s="34">
        <v>610</v>
      </c>
      <c r="F63" s="42">
        <v>518000</v>
      </c>
      <c r="G63" s="42">
        <v>215420</v>
      </c>
      <c r="H63" s="36">
        <f t="shared" si="0"/>
        <v>733420</v>
      </c>
    </row>
    <row r="64" spans="1:8" s="16" customFormat="1" ht="47.25">
      <c r="A64" s="37" t="s">
        <v>76</v>
      </c>
      <c r="B64" s="32" t="s">
        <v>11</v>
      </c>
      <c r="C64" s="33" t="s">
        <v>58</v>
      </c>
      <c r="D64" s="34" t="s">
        <v>77</v>
      </c>
      <c r="E64" s="34"/>
      <c r="F64" s="38">
        <f>SUM(F65)</f>
        <v>7350000</v>
      </c>
      <c r="G64" s="38">
        <f>SUM(G65)</f>
        <v>-5252675.94</v>
      </c>
      <c r="H64" s="36">
        <f t="shared" si="0"/>
        <v>2097324.0599999996</v>
      </c>
    </row>
    <row r="65" spans="1:8" s="16" customFormat="1" ht="47.25">
      <c r="A65" s="51" t="s">
        <v>78</v>
      </c>
      <c r="B65" s="32" t="s">
        <v>11</v>
      </c>
      <c r="C65" s="33" t="s">
        <v>58</v>
      </c>
      <c r="D65" s="34" t="s">
        <v>79</v>
      </c>
      <c r="E65" s="34"/>
      <c r="F65" s="38">
        <f>SUM(F66,F69,F72)</f>
        <v>7350000</v>
      </c>
      <c r="G65" s="38">
        <f>SUM(G66,G69,G72)</f>
        <v>-5252675.94</v>
      </c>
      <c r="H65" s="36">
        <f t="shared" si="0"/>
        <v>2097324.0599999996</v>
      </c>
    </row>
    <row r="66" spans="1:8" s="39" customFormat="1" ht="31.5">
      <c r="A66" s="51" t="s">
        <v>80</v>
      </c>
      <c r="B66" s="32" t="s">
        <v>11</v>
      </c>
      <c r="C66" s="33" t="s">
        <v>58</v>
      </c>
      <c r="D66" s="34" t="s">
        <v>81</v>
      </c>
      <c r="E66" s="34"/>
      <c r="F66" s="38">
        <f>F67</f>
        <v>6200000</v>
      </c>
      <c r="G66" s="38">
        <f>G67</f>
        <v>-5252675.94</v>
      </c>
      <c r="H66" s="36">
        <f t="shared" si="0"/>
        <v>947324.0599999996</v>
      </c>
    </row>
    <row r="67" spans="1:8" s="16" customFormat="1" ht="31.5">
      <c r="A67" s="41" t="s">
        <v>28</v>
      </c>
      <c r="B67" s="32" t="s">
        <v>11</v>
      </c>
      <c r="C67" s="33" t="s">
        <v>58</v>
      </c>
      <c r="D67" s="34" t="s">
        <v>81</v>
      </c>
      <c r="E67" s="34">
        <v>200</v>
      </c>
      <c r="F67" s="38">
        <f>F68</f>
        <v>6200000</v>
      </c>
      <c r="G67" s="38">
        <f>G68</f>
        <v>-5252675.94</v>
      </c>
      <c r="H67" s="36">
        <f t="shared" si="0"/>
        <v>947324.0599999996</v>
      </c>
    </row>
    <row r="68" spans="1:8" s="16" customFormat="1" ht="31.5">
      <c r="A68" s="41" t="s">
        <v>30</v>
      </c>
      <c r="B68" s="32" t="s">
        <v>11</v>
      </c>
      <c r="C68" s="33" t="s">
        <v>58</v>
      </c>
      <c r="D68" s="34" t="s">
        <v>81</v>
      </c>
      <c r="E68" s="34">
        <v>240</v>
      </c>
      <c r="F68" s="38">
        <f>1200000+5000000</f>
        <v>6200000</v>
      </c>
      <c r="G68" s="38">
        <v>-5252675.94</v>
      </c>
      <c r="H68" s="36">
        <f t="shared" si="0"/>
        <v>947324.0599999996</v>
      </c>
    </row>
    <row r="69" spans="1:8" s="16" customFormat="1" ht="31.5">
      <c r="A69" s="51" t="s">
        <v>82</v>
      </c>
      <c r="B69" s="32" t="s">
        <v>11</v>
      </c>
      <c r="C69" s="33" t="s">
        <v>58</v>
      </c>
      <c r="D69" s="34" t="s">
        <v>83</v>
      </c>
      <c r="E69" s="34"/>
      <c r="F69" s="38">
        <f>F70</f>
        <v>250000</v>
      </c>
      <c r="G69" s="38">
        <f>G70</f>
        <v>0</v>
      </c>
      <c r="H69" s="36">
        <f t="shared" si="0"/>
        <v>250000</v>
      </c>
    </row>
    <row r="70" spans="1:8" s="16" customFormat="1" ht="31.5">
      <c r="A70" s="41" t="s">
        <v>74</v>
      </c>
      <c r="B70" s="32" t="s">
        <v>11</v>
      </c>
      <c r="C70" s="33" t="s">
        <v>58</v>
      </c>
      <c r="D70" s="34" t="s">
        <v>83</v>
      </c>
      <c r="E70" s="34">
        <v>600</v>
      </c>
      <c r="F70" s="38">
        <f>F71</f>
        <v>250000</v>
      </c>
      <c r="G70" s="38">
        <f>G71</f>
        <v>0</v>
      </c>
      <c r="H70" s="36">
        <f t="shared" si="0"/>
        <v>250000</v>
      </c>
    </row>
    <row r="71" spans="1:8" s="16" customFormat="1" ht="47.25">
      <c r="A71" s="37" t="s">
        <v>84</v>
      </c>
      <c r="B71" s="32" t="s">
        <v>11</v>
      </c>
      <c r="C71" s="33" t="s">
        <v>58</v>
      </c>
      <c r="D71" s="34" t="s">
        <v>83</v>
      </c>
      <c r="E71" s="34">
        <v>630</v>
      </c>
      <c r="F71" s="38">
        <v>250000</v>
      </c>
      <c r="G71" s="38">
        <v>0</v>
      </c>
      <c r="H71" s="36">
        <f t="shared" si="0"/>
        <v>250000</v>
      </c>
    </row>
    <row r="72" spans="1:8" s="16" customFormat="1" ht="47.25">
      <c r="A72" s="51" t="s">
        <v>85</v>
      </c>
      <c r="B72" s="32" t="s">
        <v>11</v>
      </c>
      <c r="C72" s="33" t="s">
        <v>58</v>
      </c>
      <c r="D72" s="34" t="s">
        <v>86</v>
      </c>
      <c r="E72" s="34"/>
      <c r="F72" s="38">
        <f>F73</f>
        <v>900000</v>
      </c>
      <c r="G72" s="38">
        <f>G73</f>
        <v>0</v>
      </c>
      <c r="H72" s="36">
        <f t="shared" si="0"/>
        <v>900000</v>
      </c>
    </row>
    <row r="73" spans="1:8" s="16" customFormat="1" ht="31.5">
      <c r="A73" s="41" t="s">
        <v>74</v>
      </c>
      <c r="B73" s="32" t="s">
        <v>11</v>
      </c>
      <c r="C73" s="33" t="s">
        <v>58</v>
      </c>
      <c r="D73" s="34" t="s">
        <v>86</v>
      </c>
      <c r="E73" s="34">
        <v>600</v>
      </c>
      <c r="F73" s="38">
        <f>F74</f>
        <v>900000</v>
      </c>
      <c r="G73" s="38">
        <f>G74</f>
        <v>0</v>
      </c>
      <c r="H73" s="36">
        <f t="shared" si="0"/>
        <v>900000</v>
      </c>
    </row>
    <row r="74" spans="1:8" s="16" customFormat="1" ht="47.25">
      <c r="A74" s="37" t="s">
        <v>84</v>
      </c>
      <c r="B74" s="32" t="s">
        <v>11</v>
      </c>
      <c r="C74" s="33" t="s">
        <v>58</v>
      </c>
      <c r="D74" s="34" t="s">
        <v>86</v>
      </c>
      <c r="E74" s="34">
        <v>630</v>
      </c>
      <c r="F74" s="38">
        <v>900000</v>
      </c>
      <c r="G74" s="38">
        <v>0</v>
      </c>
      <c r="H74" s="36">
        <f t="shared" si="0"/>
        <v>900000</v>
      </c>
    </row>
    <row r="75" spans="1:8" s="16" customFormat="1" ht="47.25">
      <c r="A75" s="37" t="s">
        <v>87</v>
      </c>
      <c r="B75" s="32" t="s">
        <v>11</v>
      </c>
      <c r="C75" s="33" t="s">
        <v>58</v>
      </c>
      <c r="D75" s="34" t="s">
        <v>88</v>
      </c>
      <c r="E75" s="34"/>
      <c r="F75" s="38">
        <f>SUM(F76,F92)</f>
        <v>43812660</v>
      </c>
      <c r="G75" s="38">
        <f>SUM(G76,G92)</f>
        <v>2333295.68</v>
      </c>
      <c r="H75" s="36">
        <f t="shared" si="0"/>
        <v>46145955.68</v>
      </c>
    </row>
    <row r="76" spans="1:8" s="16" customFormat="1" ht="31.5">
      <c r="A76" s="37" t="s">
        <v>89</v>
      </c>
      <c r="B76" s="32" t="s">
        <v>11</v>
      </c>
      <c r="C76" s="33" t="s">
        <v>58</v>
      </c>
      <c r="D76" s="34" t="s">
        <v>90</v>
      </c>
      <c r="E76" s="34"/>
      <c r="F76" s="38">
        <f>SUM(F77,F80,F83,F86,F89)</f>
        <v>7062660</v>
      </c>
      <c r="G76" s="38">
        <f>SUM(G77,G80,G83,G86,G89)</f>
        <v>-1084250.73</v>
      </c>
      <c r="H76" s="36">
        <f t="shared" si="0"/>
        <v>5978409.27</v>
      </c>
    </row>
    <row r="77" spans="1:8" s="16" customFormat="1" ht="31.5">
      <c r="A77" s="37" t="s">
        <v>91</v>
      </c>
      <c r="B77" s="32" t="s">
        <v>11</v>
      </c>
      <c r="C77" s="33" t="s">
        <v>58</v>
      </c>
      <c r="D77" s="34" t="s">
        <v>92</v>
      </c>
      <c r="E77" s="34"/>
      <c r="F77" s="38">
        <f>F78</f>
        <v>262660</v>
      </c>
      <c r="G77" s="38">
        <f>G78</f>
        <v>870.64</v>
      </c>
      <c r="H77" s="36">
        <f t="shared" si="0"/>
        <v>263530.64</v>
      </c>
    </row>
    <row r="78" spans="1:8" s="16" customFormat="1" ht="31.5">
      <c r="A78" s="41" t="s">
        <v>28</v>
      </c>
      <c r="B78" s="32" t="s">
        <v>11</v>
      </c>
      <c r="C78" s="33" t="s">
        <v>58</v>
      </c>
      <c r="D78" s="34" t="s">
        <v>92</v>
      </c>
      <c r="E78" s="34">
        <v>200</v>
      </c>
      <c r="F78" s="38">
        <f>F79</f>
        <v>262660</v>
      </c>
      <c r="G78" s="38">
        <f>G79</f>
        <v>870.64</v>
      </c>
      <c r="H78" s="36">
        <f t="shared" si="0"/>
        <v>263530.64</v>
      </c>
    </row>
    <row r="79" spans="1:8" s="16" customFormat="1" ht="31.5">
      <c r="A79" s="41" t="s">
        <v>30</v>
      </c>
      <c r="B79" s="32" t="s">
        <v>11</v>
      </c>
      <c r="C79" s="33" t="s">
        <v>58</v>
      </c>
      <c r="D79" s="34" t="s">
        <v>92</v>
      </c>
      <c r="E79" s="34">
        <v>240</v>
      </c>
      <c r="F79" s="38">
        <f>400000-137340</f>
        <v>262660</v>
      </c>
      <c r="G79" s="38">
        <v>870.64</v>
      </c>
      <c r="H79" s="36">
        <f t="shared" si="0"/>
        <v>263530.64</v>
      </c>
    </row>
    <row r="80" spans="1:8" s="16" customFormat="1" ht="63">
      <c r="A80" s="37" t="s">
        <v>93</v>
      </c>
      <c r="B80" s="32" t="s">
        <v>11</v>
      </c>
      <c r="C80" s="33" t="s">
        <v>58</v>
      </c>
      <c r="D80" s="34" t="s">
        <v>94</v>
      </c>
      <c r="E80" s="34"/>
      <c r="F80" s="38">
        <f>F81</f>
        <v>3242059</v>
      </c>
      <c r="G80" s="38">
        <f>G81</f>
        <v>-227180.37</v>
      </c>
      <c r="H80" s="36">
        <f t="shared" si="0"/>
        <v>3014878.63</v>
      </c>
    </row>
    <row r="81" spans="1:8" s="16" customFormat="1" ht="31.5">
      <c r="A81" s="41" t="s">
        <v>28</v>
      </c>
      <c r="B81" s="32" t="s">
        <v>11</v>
      </c>
      <c r="C81" s="33" t="s">
        <v>58</v>
      </c>
      <c r="D81" s="34" t="s">
        <v>94</v>
      </c>
      <c r="E81" s="34">
        <v>200</v>
      </c>
      <c r="F81" s="38">
        <f>F82</f>
        <v>3242059</v>
      </c>
      <c r="G81" s="38">
        <f>G82</f>
        <v>-227180.37</v>
      </c>
      <c r="H81" s="36">
        <f t="shared" si="0"/>
        <v>3014878.63</v>
      </c>
    </row>
    <row r="82" spans="1:8" s="16" customFormat="1" ht="31.5">
      <c r="A82" s="41" t="s">
        <v>30</v>
      </c>
      <c r="B82" s="32" t="s">
        <v>11</v>
      </c>
      <c r="C82" s="33" t="s">
        <v>58</v>
      </c>
      <c r="D82" s="34" t="s">
        <v>94</v>
      </c>
      <c r="E82" s="34">
        <v>240</v>
      </c>
      <c r="F82" s="38">
        <f>2605967+636092</f>
        <v>3242059</v>
      </c>
      <c r="G82" s="38">
        <f>-806.51+92349.37+15074.39-333797.62</f>
        <v>-227180.37</v>
      </c>
      <c r="H82" s="36">
        <f t="shared" si="0"/>
        <v>3014878.63</v>
      </c>
    </row>
    <row r="83" spans="1:8" s="16" customFormat="1" ht="63">
      <c r="A83" s="37" t="s">
        <v>95</v>
      </c>
      <c r="B83" s="32" t="s">
        <v>11</v>
      </c>
      <c r="C83" s="33" t="s">
        <v>58</v>
      </c>
      <c r="D83" s="34" t="s">
        <v>96</v>
      </c>
      <c r="E83" s="34"/>
      <c r="F83" s="38">
        <f>F84</f>
        <v>257941</v>
      </c>
      <c r="G83" s="38">
        <f>G84</f>
        <v>-257941</v>
      </c>
      <c r="H83" s="36">
        <f t="shared" si="0"/>
        <v>0</v>
      </c>
    </row>
    <row r="84" spans="1:8" s="16" customFormat="1" ht="31.5">
      <c r="A84" s="41" t="s">
        <v>28</v>
      </c>
      <c r="B84" s="32" t="s">
        <v>11</v>
      </c>
      <c r="C84" s="33" t="s">
        <v>58</v>
      </c>
      <c r="D84" s="34" t="s">
        <v>96</v>
      </c>
      <c r="E84" s="34">
        <v>200</v>
      </c>
      <c r="F84" s="38">
        <f>F85</f>
        <v>257941</v>
      </c>
      <c r="G84" s="38">
        <f>G85</f>
        <v>-257941</v>
      </c>
      <c r="H84" s="36">
        <f t="shared" si="0"/>
        <v>0</v>
      </c>
    </row>
    <row r="85" spans="1:8" s="16" customFormat="1" ht="31.5">
      <c r="A85" s="41" t="s">
        <v>30</v>
      </c>
      <c r="B85" s="32" t="s">
        <v>11</v>
      </c>
      <c r="C85" s="33" t="s">
        <v>58</v>
      </c>
      <c r="D85" s="34" t="s">
        <v>96</v>
      </c>
      <c r="E85" s="34">
        <v>240</v>
      </c>
      <c r="F85" s="38">
        <f>207333+50608</f>
        <v>257941</v>
      </c>
      <c r="G85" s="38">
        <f>-64.13-207333-50543.87</f>
        <v>-257941</v>
      </c>
      <c r="H85" s="36">
        <f t="shared" si="0"/>
        <v>0</v>
      </c>
    </row>
    <row r="86" spans="1:8" s="16" customFormat="1" ht="47.25">
      <c r="A86" s="37" t="s">
        <v>97</v>
      </c>
      <c r="B86" s="32" t="s">
        <v>11</v>
      </c>
      <c r="C86" s="33" t="s">
        <v>58</v>
      </c>
      <c r="D86" s="34" t="s">
        <v>98</v>
      </c>
      <c r="E86" s="34"/>
      <c r="F86" s="38">
        <f>F87</f>
        <v>300000</v>
      </c>
      <c r="G86" s="38">
        <f>G87</f>
        <v>0</v>
      </c>
      <c r="H86" s="36">
        <f t="shared" si="0"/>
        <v>300000</v>
      </c>
    </row>
    <row r="87" spans="1:8" s="16" customFormat="1" ht="31.5">
      <c r="A87" s="41" t="s">
        <v>28</v>
      </c>
      <c r="B87" s="32" t="s">
        <v>11</v>
      </c>
      <c r="C87" s="33" t="s">
        <v>58</v>
      </c>
      <c r="D87" s="34" t="s">
        <v>98</v>
      </c>
      <c r="E87" s="34">
        <v>200</v>
      </c>
      <c r="F87" s="38">
        <f>F88</f>
        <v>300000</v>
      </c>
      <c r="G87" s="38">
        <f>G88</f>
        <v>0</v>
      </c>
      <c r="H87" s="36">
        <f t="shared" si="0"/>
        <v>300000</v>
      </c>
    </row>
    <row r="88" spans="1:8" s="16" customFormat="1" ht="31.5">
      <c r="A88" s="41" t="s">
        <v>30</v>
      </c>
      <c r="B88" s="32" t="s">
        <v>11</v>
      </c>
      <c r="C88" s="33" t="s">
        <v>58</v>
      </c>
      <c r="D88" s="34" t="s">
        <v>98</v>
      </c>
      <c r="E88" s="34">
        <v>240</v>
      </c>
      <c r="F88" s="38">
        <v>300000</v>
      </c>
      <c r="G88" s="38">
        <v>0</v>
      </c>
      <c r="H88" s="36">
        <f t="shared" si="0"/>
        <v>300000</v>
      </c>
    </row>
    <row r="89" spans="1:8" s="16" customFormat="1" ht="31.5">
      <c r="A89" s="37" t="s">
        <v>99</v>
      </c>
      <c r="B89" s="32" t="s">
        <v>11</v>
      </c>
      <c r="C89" s="33" t="s">
        <v>58</v>
      </c>
      <c r="D89" s="34" t="s">
        <v>100</v>
      </c>
      <c r="E89" s="34"/>
      <c r="F89" s="38">
        <f>F90</f>
        <v>3000000</v>
      </c>
      <c r="G89" s="38">
        <f>G90</f>
        <v>-600000</v>
      </c>
      <c r="H89" s="36">
        <f t="shared" si="0"/>
        <v>2400000</v>
      </c>
    </row>
    <row r="90" spans="1:8" s="16" customFormat="1" ht="31.5">
      <c r="A90" s="41" t="s">
        <v>28</v>
      </c>
      <c r="B90" s="32" t="s">
        <v>11</v>
      </c>
      <c r="C90" s="33" t="s">
        <v>58</v>
      </c>
      <c r="D90" s="34" t="s">
        <v>100</v>
      </c>
      <c r="E90" s="34">
        <v>200</v>
      </c>
      <c r="F90" s="38">
        <f>F91</f>
        <v>3000000</v>
      </c>
      <c r="G90" s="38">
        <f>G91</f>
        <v>-600000</v>
      </c>
      <c r="H90" s="36">
        <f t="shared" si="0"/>
        <v>2400000</v>
      </c>
    </row>
    <row r="91" spans="1:8" s="16" customFormat="1" ht="31.5">
      <c r="A91" s="41" t="s">
        <v>30</v>
      </c>
      <c r="B91" s="32" t="s">
        <v>11</v>
      </c>
      <c r="C91" s="33" t="s">
        <v>58</v>
      </c>
      <c r="D91" s="34" t="s">
        <v>100</v>
      </c>
      <c r="E91" s="34">
        <v>240</v>
      </c>
      <c r="F91" s="38">
        <v>3000000</v>
      </c>
      <c r="G91" s="38">
        <v>-600000</v>
      </c>
      <c r="H91" s="36">
        <f t="shared" si="0"/>
        <v>2400000</v>
      </c>
    </row>
    <row r="92" spans="1:8" s="39" customFormat="1" ht="47.25">
      <c r="A92" s="41" t="s">
        <v>101</v>
      </c>
      <c r="B92" s="32" t="s">
        <v>11</v>
      </c>
      <c r="C92" s="33" t="s">
        <v>58</v>
      </c>
      <c r="D92" s="34" t="s">
        <v>102</v>
      </c>
      <c r="E92" s="34"/>
      <c r="F92" s="38">
        <f>F93</f>
        <v>36750000</v>
      </c>
      <c r="G92" s="38">
        <f>G93</f>
        <v>3417546.41</v>
      </c>
      <c r="H92" s="36">
        <f t="shared" si="0"/>
        <v>40167546.41</v>
      </c>
    </row>
    <row r="93" spans="1:8" ht="63">
      <c r="A93" s="37" t="s">
        <v>103</v>
      </c>
      <c r="B93" s="32" t="s">
        <v>11</v>
      </c>
      <c r="C93" s="33" t="s">
        <v>58</v>
      </c>
      <c r="D93" s="34" t="s">
        <v>104</v>
      </c>
      <c r="E93" s="34"/>
      <c r="F93" s="38">
        <f>SUM(F94,F96,F98)</f>
        <v>36750000</v>
      </c>
      <c r="G93" s="38">
        <f>SUM(G94,G96,G98)</f>
        <v>3417546.41</v>
      </c>
      <c r="H93" s="36">
        <f t="shared" si="0"/>
        <v>40167546.41</v>
      </c>
    </row>
    <row r="94" spans="1:8" s="16" customFormat="1" ht="78.75">
      <c r="A94" s="40" t="s">
        <v>22</v>
      </c>
      <c r="B94" s="32" t="s">
        <v>11</v>
      </c>
      <c r="C94" s="33" t="s">
        <v>58</v>
      </c>
      <c r="D94" s="34" t="s">
        <v>104</v>
      </c>
      <c r="E94" s="34">
        <v>100</v>
      </c>
      <c r="F94" s="38">
        <f>F95</f>
        <v>33000000</v>
      </c>
      <c r="G94" s="38">
        <f>G95</f>
        <v>0</v>
      </c>
      <c r="H94" s="36">
        <f t="shared" si="0"/>
        <v>33000000</v>
      </c>
    </row>
    <row r="95" spans="1:8" s="16" customFormat="1" ht="15.75">
      <c r="A95" s="40" t="s">
        <v>69</v>
      </c>
      <c r="B95" s="32" t="s">
        <v>11</v>
      </c>
      <c r="C95" s="33" t="s">
        <v>58</v>
      </c>
      <c r="D95" s="34" t="s">
        <v>104</v>
      </c>
      <c r="E95" s="34">
        <v>110</v>
      </c>
      <c r="F95" s="38">
        <v>33000000</v>
      </c>
      <c r="G95" s="38">
        <v>0</v>
      </c>
      <c r="H95" s="36">
        <f t="shared" si="0"/>
        <v>33000000</v>
      </c>
    </row>
    <row r="96" spans="1:8" ht="31.5">
      <c r="A96" s="41" t="s">
        <v>28</v>
      </c>
      <c r="B96" s="32" t="s">
        <v>11</v>
      </c>
      <c r="C96" s="33" t="s">
        <v>58</v>
      </c>
      <c r="D96" s="34" t="s">
        <v>104</v>
      </c>
      <c r="E96" s="34">
        <v>200</v>
      </c>
      <c r="F96" s="38">
        <f>F97</f>
        <v>3600000</v>
      </c>
      <c r="G96" s="38">
        <f>G97</f>
        <v>2030246.41</v>
      </c>
      <c r="H96" s="36">
        <f t="shared" si="0"/>
        <v>5630246.41</v>
      </c>
    </row>
    <row r="97" spans="1:8" s="16" customFormat="1" ht="31.5">
      <c r="A97" s="41" t="s">
        <v>30</v>
      </c>
      <c r="B97" s="32" t="s">
        <v>11</v>
      </c>
      <c r="C97" s="33" t="s">
        <v>58</v>
      </c>
      <c r="D97" s="34" t="s">
        <v>104</v>
      </c>
      <c r="E97" s="34">
        <v>240</v>
      </c>
      <c r="F97" s="38">
        <v>3600000</v>
      </c>
      <c r="G97" s="38">
        <f>452000+311416.67+300000+144000+250000-23000+295829.74+300000</f>
        <v>2030246.41</v>
      </c>
      <c r="H97" s="36">
        <f t="shared" si="0"/>
        <v>5630246.41</v>
      </c>
    </row>
    <row r="98" spans="1:8" s="16" customFormat="1" ht="15.75">
      <c r="A98" s="41" t="s">
        <v>36</v>
      </c>
      <c r="B98" s="32" t="s">
        <v>11</v>
      </c>
      <c r="C98" s="33" t="s">
        <v>58</v>
      </c>
      <c r="D98" s="34" t="s">
        <v>104</v>
      </c>
      <c r="E98" s="34">
        <v>800</v>
      </c>
      <c r="F98" s="38">
        <f>F99</f>
        <v>150000</v>
      </c>
      <c r="G98" s="38">
        <f>G99</f>
        <v>1387300</v>
      </c>
      <c r="H98" s="36">
        <f t="shared" si="0"/>
        <v>1537300</v>
      </c>
    </row>
    <row r="99" spans="1:8" s="16" customFormat="1" ht="15.75">
      <c r="A99" s="41" t="s">
        <v>38</v>
      </c>
      <c r="B99" s="32" t="s">
        <v>11</v>
      </c>
      <c r="C99" s="33" t="s">
        <v>58</v>
      </c>
      <c r="D99" s="34" t="s">
        <v>104</v>
      </c>
      <c r="E99" s="34">
        <v>850</v>
      </c>
      <c r="F99" s="38">
        <v>150000</v>
      </c>
      <c r="G99" s="38">
        <f>23000+200000+1164300</f>
        <v>1387300</v>
      </c>
      <c r="H99" s="36">
        <f t="shared" si="0"/>
        <v>1537300</v>
      </c>
    </row>
    <row r="100" spans="1:8" s="16" customFormat="1" ht="15.75">
      <c r="A100" s="31" t="s">
        <v>16</v>
      </c>
      <c r="B100" s="32" t="s">
        <v>11</v>
      </c>
      <c r="C100" s="33" t="s">
        <v>58</v>
      </c>
      <c r="D100" s="34" t="s">
        <v>17</v>
      </c>
      <c r="E100" s="28"/>
      <c r="F100" s="35">
        <f>SUM(F101,F130,F120)</f>
        <v>4945000</v>
      </c>
      <c r="G100" s="35">
        <f>SUM(G101,G130,G120)</f>
        <v>7370978.15</v>
      </c>
      <c r="H100" s="36">
        <f t="shared" si="0"/>
        <v>12315978.15</v>
      </c>
    </row>
    <row r="101" spans="1:8" s="16" customFormat="1" ht="47.25">
      <c r="A101" s="37" t="s">
        <v>51</v>
      </c>
      <c r="B101" s="32" t="s">
        <v>11</v>
      </c>
      <c r="C101" s="33" t="s">
        <v>58</v>
      </c>
      <c r="D101" s="34" t="s">
        <v>52</v>
      </c>
      <c r="E101" s="34"/>
      <c r="F101" s="38">
        <f>SUM(F102,F105,F108,F111,F117,F114)</f>
        <v>2000000</v>
      </c>
      <c r="G101" s="38">
        <f>SUM(G102,G105,G108,G111,G117,G114)</f>
        <v>5666000</v>
      </c>
      <c r="H101" s="36">
        <f t="shared" si="0"/>
        <v>7666000</v>
      </c>
    </row>
    <row r="102" spans="1:8" s="16" customFormat="1" ht="47.25">
      <c r="A102" s="37" t="s">
        <v>105</v>
      </c>
      <c r="B102" s="32" t="s">
        <v>11</v>
      </c>
      <c r="C102" s="33" t="s">
        <v>58</v>
      </c>
      <c r="D102" s="34" t="s">
        <v>106</v>
      </c>
      <c r="E102" s="34"/>
      <c r="F102" s="38">
        <f>F103</f>
        <v>400000</v>
      </c>
      <c r="G102" s="38">
        <f>G103</f>
        <v>750000</v>
      </c>
      <c r="H102" s="36">
        <f t="shared" si="0"/>
        <v>1150000</v>
      </c>
    </row>
    <row r="103" spans="1:8" s="16" customFormat="1" ht="31.5">
      <c r="A103" s="41" t="s">
        <v>28</v>
      </c>
      <c r="B103" s="32" t="s">
        <v>11</v>
      </c>
      <c r="C103" s="33" t="s">
        <v>58</v>
      </c>
      <c r="D103" s="34" t="s">
        <v>106</v>
      </c>
      <c r="E103" s="34">
        <v>200</v>
      </c>
      <c r="F103" s="38">
        <f>F104</f>
        <v>400000</v>
      </c>
      <c r="G103" s="38">
        <f>G104</f>
        <v>750000</v>
      </c>
      <c r="H103" s="36">
        <f t="shared" si="0"/>
        <v>1150000</v>
      </c>
    </row>
    <row r="104" spans="1:8" s="16" customFormat="1" ht="31.5">
      <c r="A104" s="41" t="s">
        <v>30</v>
      </c>
      <c r="B104" s="32" t="s">
        <v>11</v>
      </c>
      <c r="C104" s="33" t="s">
        <v>58</v>
      </c>
      <c r="D104" s="34" t="s">
        <v>106</v>
      </c>
      <c r="E104" s="34">
        <v>240</v>
      </c>
      <c r="F104" s="38">
        <v>400000</v>
      </c>
      <c r="G104" s="38">
        <f>200000+50000+500000</f>
        <v>750000</v>
      </c>
      <c r="H104" s="36">
        <f t="shared" si="0"/>
        <v>1150000</v>
      </c>
    </row>
    <row r="105" spans="1:8" s="39" customFormat="1" ht="47.25">
      <c r="A105" s="37" t="s">
        <v>107</v>
      </c>
      <c r="B105" s="32" t="s">
        <v>11</v>
      </c>
      <c r="C105" s="33" t="s">
        <v>58</v>
      </c>
      <c r="D105" s="34" t="s">
        <v>108</v>
      </c>
      <c r="E105" s="34"/>
      <c r="F105" s="38">
        <f>F106</f>
        <v>250000</v>
      </c>
      <c r="G105" s="38">
        <f>G106</f>
        <v>0</v>
      </c>
      <c r="H105" s="36">
        <f t="shared" si="0"/>
        <v>250000</v>
      </c>
    </row>
    <row r="106" spans="1:8" ht="31.5">
      <c r="A106" s="37" t="s">
        <v>74</v>
      </c>
      <c r="B106" s="32" t="s">
        <v>11</v>
      </c>
      <c r="C106" s="33" t="s">
        <v>58</v>
      </c>
      <c r="D106" s="34" t="s">
        <v>108</v>
      </c>
      <c r="E106" s="34">
        <v>600</v>
      </c>
      <c r="F106" s="38">
        <f>F107</f>
        <v>250000</v>
      </c>
      <c r="G106" s="38">
        <f>G107</f>
        <v>0</v>
      </c>
      <c r="H106" s="36">
        <f t="shared" si="0"/>
        <v>250000</v>
      </c>
    </row>
    <row r="107" spans="1:8" s="16" customFormat="1" ht="47.25">
      <c r="A107" s="37" t="s">
        <v>84</v>
      </c>
      <c r="B107" s="32" t="s">
        <v>11</v>
      </c>
      <c r="C107" s="33" t="s">
        <v>58</v>
      </c>
      <c r="D107" s="34" t="s">
        <v>108</v>
      </c>
      <c r="E107" s="34">
        <v>630</v>
      </c>
      <c r="F107" s="42">
        <v>250000</v>
      </c>
      <c r="G107" s="42">
        <v>0</v>
      </c>
      <c r="H107" s="36">
        <f t="shared" si="0"/>
        <v>250000</v>
      </c>
    </row>
    <row r="108" spans="1:8" s="16" customFormat="1" ht="157.5">
      <c r="A108" s="37" t="s">
        <v>109</v>
      </c>
      <c r="B108" s="32" t="s">
        <v>11</v>
      </c>
      <c r="C108" s="33" t="s">
        <v>58</v>
      </c>
      <c r="D108" s="34" t="s">
        <v>110</v>
      </c>
      <c r="E108" s="34"/>
      <c r="F108" s="42">
        <f>F109</f>
        <v>500000</v>
      </c>
      <c r="G108" s="42">
        <f>G109</f>
        <v>0</v>
      </c>
      <c r="H108" s="36">
        <f t="shared" si="0"/>
        <v>500000</v>
      </c>
    </row>
    <row r="109" spans="1:8" ht="31.5">
      <c r="A109" s="37" t="s">
        <v>74</v>
      </c>
      <c r="B109" s="32" t="s">
        <v>11</v>
      </c>
      <c r="C109" s="33" t="s">
        <v>58</v>
      </c>
      <c r="D109" s="34" t="s">
        <v>110</v>
      </c>
      <c r="E109" s="34">
        <v>600</v>
      </c>
      <c r="F109" s="42">
        <f>F110</f>
        <v>500000</v>
      </c>
      <c r="G109" s="42">
        <f>G110</f>
        <v>0</v>
      </c>
      <c r="H109" s="36">
        <f t="shared" si="0"/>
        <v>500000</v>
      </c>
    </row>
    <row r="110" spans="1:8" ht="36" customHeight="1">
      <c r="A110" s="37" t="s">
        <v>84</v>
      </c>
      <c r="B110" s="32" t="s">
        <v>11</v>
      </c>
      <c r="C110" s="33" t="s">
        <v>58</v>
      </c>
      <c r="D110" s="34" t="s">
        <v>110</v>
      </c>
      <c r="E110" s="34">
        <v>630</v>
      </c>
      <c r="F110" s="42">
        <v>500000</v>
      </c>
      <c r="G110" s="42">
        <v>0</v>
      </c>
      <c r="H110" s="36">
        <f t="shared" si="0"/>
        <v>500000</v>
      </c>
    </row>
    <row r="111" spans="1:8" ht="78.75">
      <c r="A111" s="52" t="s">
        <v>111</v>
      </c>
      <c r="B111" s="32" t="s">
        <v>11</v>
      </c>
      <c r="C111" s="33" t="s">
        <v>58</v>
      </c>
      <c r="D111" s="34" t="s">
        <v>112</v>
      </c>
      <c r="E111" s="34"/>
      <c r="F111" s="38">
        <f>F112</f>
        <v>850000</v>
      </c>
      <c r="G111" s="38">
        <f>G112</f>
        <v>0</v>
      </c>
      <c r="H111" s="36">
        <f t="shared" si="0"/>
        <v>850000</v>
      </c>
    </row>
    <row r="112" spans="1:8" s="16" customFormat="1" ht="15.75">
      <c r="A112" s="41" t="s">
        <v>36</v>
      </c>
      <c r="B112" s="32" t="s">
        <v>11</v>
      </c>
      <c r="C112" s="33" t="s">
        <v>58</v>
      </c>
      <c r="D112" s="34" t="s">
        <v>112</v>
      </c>
      <c r="E112" s="34">
        <v>800</v>
      </c>
      <c r="F112" s="38">
        <f>F113</f>
        <v>850000</v>
      </c>
      <c r="G112" s="38">
        <f>G113</f>
        <v>0</v>
      </c>
      <c r="H112" s="36">
        <f t="shared" si="0"/>
        <v>850000</v>
      </c>
    </row>
    <row r="113" spans="1:8" s="16" customFormat="1" ht="15.75">
      <c r="A113" s="41" t="s">
        <v>38</v>
      </c>
      <c r="B113" s="32" t="s">
        <v>11</v>
      </c>
      <c r="C113" s="33" t="s">
        <v>58</v>
      </c>
      <c r="D113" s="34" t="s">
        <v>112</v>
      </c>
      <c r="E113" s="34">
        <v>850</v>
      </c>
      <c r="F113" s="42">
        <v>850000</v>
      </c>
      <c r="G113" s="42">
        <v>0</v>
      </c>
      <c r="H113" s="36">
        <f t="shared" si="0"/>
        <v>850000</v>
      </c>
    </row>
    <row r="114" spans="1:8" s="16" customFormat="1" ht="61.5" customHeight="1">
      <c r="A114" s="41" t="s">
        <v>113</v>
      </c>
      <c r="B114" s="32" t="s">
        <v>11</v>
      </c>
      <c r="C114" s="33" t="s">
        <v>58</v>
      </c>
      <c r="D114" s="34" t="s">
        <v>114</v>
      </c>
      <c r="E114" s="34"/>
      <c r="F114" s="42">
        <f>F115</f>
        <v>0</v>
      </c>
      <c r="G114" s="42">
        <f>G115</f>
        <v>2300000</v>
      </c>
      <c r="H114" s="36">
        <f t="shared" si="0"/>
        <v>2300000</v>
      </c>
    </row>
    <row r="115" spans="1:8" s="16" customFormat="1" ht="15.75">
      <c r="A115" s="41" t="s">
        <v>36</v>
      </c>
      <c r="B115" s="32" t="s">
        <v>11</v>
      </c>
      <c r="C115" s="33" t="s">
        <v>58</v>
      </c>
      <c r="D115" s="34" t="s">
        <v>114</v>
      </c>
      <c r="E115" s="34">
        <v>800</v>
      </c>
      <c r="F115" s="42">
        <f>F116</f>
        <v>0</v>
      </c>
      <c r="G115" s="42">
        <f>G116</f>
        <v>2300000</v>
      </c>
      <c r="H115" s="36">
        <f t="shared" si="0"/>
        <v>2300000</v>
      </c>
    </row>
    <row r="116" spans="1:8" s="16" customFormat="1" ht="47.25" customHeight="1">
      <c r="A116" s="41" t="s">
        <v>115</v>
      </c>
      <c r="B116" s="32" t="s">
        <v>11</v>
      </c>
      <c r="C116" s="33" t="s">
        <v>58</v>
      </c>
      <c r="D116" s="34" t="s">
        <v>114</v>
      </c>
      <c r="E116" s="34">
        <v>810</v>
      </c>
      <c r="F116" s="42">
        <v>0</v>
      </c>
      <c r="G116" s="42">
        <f>2000000+300000</f>
        <v>2300000</v>
      </c>
      <c r="H116" s="36">
        <f t="shared" si="0"/>
        <v>2300000</v>
      </c>
    </row>
    <row r="117" spans="1:8" s="16" customFormat="1" ht="35.25" customHeight="1">
      <c r="A117" s="41" t="s">
        <v>116</v>
      </c>
      <c r="B117" s="32" t="s">
        <v>11</v>
      </c>
      <c r="C117" s="33" t="s">
        <v>58</v>
      </c>
      <c r="D117" s="34" t="s">
        <v>117</v>
      </c>
      <c r="E117" s="34"/>
      <c r="F117" s="42">
        <f>F118</f>
        <v>0</v>
      </c>
      <c r="G117" s="42">
        <f>G118</f>
        <v>2616000</v>
      </c>
      <c r="H117" s="42">
        <f>H118</f>
        <v>2616000</v>
      </c>
    </row>
    <row r="118" spans="1:8" s="16" customFormat="1" ht="31.5">
      <c r="A118" s="37" t="s">
        <v>118</v>
      </c>
      <c r="B118" s="32" t="s">
        <v>11</v>
      </c>
      <c r="C118" s="33" t="s">
        <v>58</v>
      </c>
      <c r="D118" s="34" t="s">
        <v>117</v>
      </c>
      <c r="E118" s="34">
        <v>400</v>
      </c>
      <c r="F118" s="42">
        <f>F119</f>
        <v>0</v>
      </c>
      <c r="G118" s="42">
        <f>G119</f>
        <v>2616000</v>
      </c>
      <c r="H118" s="36">
        <f aca="true" t="shared" si="4" ref="H118:H263">SUM(F118:G118)</f>
        <v>2616000</v>
      </c>
    </row>
    <row r="119" spans="1:8" s="16" customFormat="1" ht="15.75">
      <c r="A119" s="37" t="s">
        <v>119</v>
      </c>
      <c r="B119" s="32" t="s">
        <v>11</v>
      </c>
      <c r="C119" s="33" t="s">
        <v>58</v>
      </c>
      <c r="D119" s="34" t="s">
        <v>117</v>
      </c>
      <c r="E119" s="34">
        <v>410</v>
      </c>
      <c r="F119" s="42"/>
      <c r="G119" s="42">
        <f>5110000-2494000</f>
        <v>2616000</v>
      </c>
      <c r="H119" s="36">
        <f t="shared" si="4"/>
        <v>2616000</v>
      </c>
    </row>
    <row r="120" spans="1:8" s="16" customFormat="1" ht="50.25" customHeight="1">
      <c r="A120" s="41" t="s">
        <v>44</v>
      </c>
      <c r="B120" s="32" t="s">
        <v>11</v>
      </c>
      <c r="C120" s="33" t="s">
        <v>58</v>
      </c>
      <c r="D120" s="34" t="s">
        <v>45</v>
      </c>
      <c r="E120" s="34"/>
      <c r="F120" s="42">
        <f>F121+F124+F127</f>
        <v>0</v>
      </c>
      <c r="G120" s="42">
        <f>G121+G124+G127</f>
        <v>2333423.83</v>
      </c>
      <c r="H120" s="36">
        <f t="shared" si="4"/>
        <v>2333423.83</v>
      </c>
    </row>
    <row r="121" spans="1:8" s="16" customFormat="1" ht="15.75">
      <c r="A121" s="41" t="s">
        <v>120</v>
      </c>
      <c r="B121" s="32" t="s">
        <v>11</v>
      </c>
      <c r="C121" s="33" t="s">
        <v>58</v>
      </c>
      <c r="D121" s="34" t="s">
        <v>121</v>
      </c>
      <c r="E121" s="34"/>
      <c r="F121" s="42">
        <f>F122</f>
        <v>0</v>
      </c>
      <c r="G121" s="42">
        <f>G122</f>
        <v>100000</v>
      </c>
      <c r="H121" s="36">
        <f t="shared" si="4"/>
        <v>100000</v>
      </c>
    </row>
    <row r="122" spans="1:8" s="16" customFormat="1" ht="31.5">
      <c r="A122" s="41" t="s">
        <v>28</v>
      </c>
      <c r="B122" s="32" t="s">
        <v>11</v>
      </c>
      <c r="C122" s="33" t="s">
        <v>58</v>
      </c>
      <c r="D122" s="34" t="s">
        <v>121</v>
      </c>
      <c r="E122" s="34">
        <v>200</v>
      </c>
      <c r="F122" s="42">
        <f>F123</f>
        <v>0</v>
      </c>
      <c r="G122" s="42">
        <f>G123</f>
        <v>100000</v>
      </c>
      <c r="H122" s="36">
        <f t="shared" si="4"/>
        <v>100000</v>
      </c>
    </row>
    <row r="123" spans="1:8" s="16" customFormat="1" ht="31.5">
      <c r="A123" s="41" t="s">
        <v>30</v>
      </c>
      <c r="B123" s="32" t="s">
        <v>11</v>
      </c>
      <c r="C123" s="33" t="s">
        <v>58</v>
      </c>
      <c r="D123" s="34" t="s">
        <v>121</v>
      </c>
      <c r="E123" s="34">
        <v>240</v>
      </c>
      <c r="F123" s="42">
        <v>0</v>
      </c>
      <c r="G123" s="42">
        <v>100000</v>
      </c>
      <c r="H123" s="36">
        <f t="shared" si="4"/>
        <v>100000</v>
      </c>
    </row>
    <row r="124" spans="1:8" s="16" customFormat="1" ht="84" customHeight="1">
      <c r="A124" s="41" t="s">
        <v>122</v>
      </c>
      <c r="B124" s="32" t="s">
        <v>11</v>
      </c>
      <c r="C124" s="33" t="s">
        <v>58</v>
      </c>
      <c r="D124" s="34" t="s">
        <v>123</v>
      </c>
      <c r="E124" s="34"/>
      <c r="F124" s="42">
        <f>F125</f>
        <v>0</v>
      </c>
      <c r="G124" s="42">
        <f>G125</f>
        <v>584000.8200000001</v>
      </c>
      <c r="H124" s="36">
        <f t="shared" si="4"/>
        <v>584000.8200000001</v>
      </c>
    </row>
    <row r="125" spans="1:8" s="16" customFormat="1" ht="31.5">
      <c r="A125" s="41" t="s">
        <v>74</v>
      </c>
      <c r="B125" s="32" t="s">
        <v>11</v>
      </c>
      <c r="C125" s="33" t="s">
        <v>58</v>
      </c>
      <c r="D125" s="34" t="s">
        <v>123</v>
      </c>
      <c r="E125" s="34">
        <v>600</v>
      </c>
      <c r="F125" s="42">
        <f>F126</f>
        <v>0</v>
      </c>
      <c r="G125" s="42">
        <f>G126</f>
        <v>584000.8200000001</v>
      </c>
      <c r="H125" s="36">
        <f t="shared" si="4"/>
        <v>584000.8200000001</v>
      </c>
    </row>
    <row r="126" spans="1:8" s="16" customFormat="1" ht="15.75">
      <c r="A126" s="41" t="s">
        <v>75</v>
      </c>
      <c r="B126" s="32" t="s">
        <v>11</v>
      </c>
      <c r="C126" s="33" t="s">
        <v>58</v>
      </c>
      <c r="D126" s="34" t="s">
        <v>123</v>
      </c>
      <c r="E126" s="34">
        <v>610</v>
      </c>
      <c r="F126" s="42">
        <v>0</v>
      </c>
      <c r="G126" s="42">
        <f>404308.26+179692.56</f>
        <v>584000.8200000001</v>
      </c>
      <c r="H126" s="36">
        <f t="shared" si="4"/>
        <v>584000.8200000001</v>
      </c>
    </row>
    <row r="127" spans="1:8" s="16" customFormat="1" ht="49.5" customHeight="1">
      <c r="A127" s="41" t="s">
        <v>124</v>
      </c>
      <c r="B127" s="32" t="s">
        <v>11</v>
      </c>
      <c r="C127" s="33" t="s">
        <v>58</v>
      </c>
      <c r="D127" s="34" t="s">
        <v>125</v>
      </c>
      <c r="E127" s="34"/>
      <c r="F127" s="42">
        <f>F128</f>
        <v>0</v>
      </c>
      <c r="G127" s="42">
        <f>G128</f>
        <v>1649423.01</v>
      </c>
      <c r="H127" s="36">
        <f t="shared" si="4"/>
        <v>1649423.01</v>
      </c>
    </row>
    <row r="128" spans="1:8" s="16" customFormat="1" ht="31.5">
      <c r="A128" s="41" t="s">
        <v>74</v>
      </c>
      <c r="B128" s="32" t="s">
        <v>11</v>
      </c>
      <c r="C128" s="33" t="s">
        <v>58</v>
      </c>
      <c r="D128" s="34" t="s">
        <v>125</v>
      </c>
      <c r="E128" s="34">
        <v>600</v>
      </c>
      <c r="F128" s="42">
        <f>F129</f>
        <v>0</v>
      </c>
      <c r="G128" s="42">
        <f>G129</f>
        <v>1649423.01</v>
      </c>
      <c r="H128" s="36">
        <f t="shared" si="4"/>
        <v>1649423.01</v>
      </c>
    </row>
    <row r="129" spans="1:8" s="16" customFormat="1" ht="15.75">
      <c r="A129" s="41" t="s">
        <v>75</v>
      </c>
      <c r="B129" s="32" t="s">
        <v>11</v>
      </c>
      <c r="C129" s="33" t="s">
        <v>58</v>
      </c>
      <c r="D129" s="34" t="s">
        <v>125</v>
      </c>
      <c r="E129" s="34">
        <v>610</v>
      </c>
      <c r="F129" s="42">
        <v>0</v>
      </c>
      <c r="G129" s="42">
        <v>1649423.01</v>
      </c>
      <c r="H129" s="36">
        <f t="shared" si="4"/>
        <v>1649423.01</v>
      </c>
    </row>
    <row r="130" spans="1:8" s="16" customFormat="1" ht="15.75">
      <c r="A130" s="37" t="s">
        <v>126</v>
      </c>
      <c r="B130" s="32" t="s">
        <v>11</v>
      </c>
      <c r="C130" s="33" t="s">
        <v>58</v>
      </c>
      <c r="D130" s="34" t="s">
        <v>127</v>
      </c>
      <c r="E130" s="34"/>
      <c r="F130" s="38">
        <f>SUM(F131,F134,F137,F140)</f>
        <v>2945000</v>
      </c>
      <c r="G130" s="38">
        <f>SUM(G131,G134,G137,G140)</f>
        <v>-628445.6799999999</v>
      </c>
      <c r="H130" s="36">
        <f t="shared" si="4"/>
        <v>2316554.3200000003</v>
      </c>
    </row>
    <row r="131" spans="1:8" s="16" customFormat="1" ht="31.5">
      <c r="A131" s="37" t="s">
        <v>128</v>
      </c>
      <c r="B131" s="32" t="s">
        <v>11</v>
      </c>
      <c r="C131" s="33" t="s">
        <v>58</v>
      </c>
      <c r="D131" s="34" t="s">
        <v>129</v>
      </c>
      <c r="E131" s="34"/>
      <c r="F131" s="38">
        <f>F132</f>
        <v>400000</v>
      </c>
      <c r="G131" s="38">
        <f>G132</f>
        <v>0</v>
      </c>
      <c r="H131" s="36">
        <f t="shared" si="4"/>
        <v>400000</v>
      </c>
    </row>
    <row r="132" spans="1:8" s="53" customFormat="1" ht="31.5">
      <c r="A132" s="41" t="s">
        <v>28</v>
      </c>
      <c r="B132" s="32" t="s">
        <v>11</v>
      </c>
      <c r="C132" s="33" t="s">
        <v>58</v>
      </c>
      <c r="D132" s="34" t="s">
        <v>129</v>
      </c>
      <c r="E132" s="34">
        <v>200</v>
      </c>
      <c r="F132" s="38">
        <f>F133</f>
        <v>400000</v>
      </c>
      <c r="G132" s="38">
        <f>G133</f>
        <v>0</v>
      </c>
      <c r="H132" s="36">
        <f t="shared" si="4"/>
        <v>400000</v>
      </c>
    </row>
    <row r="133" spans="1:8" s="16" customFormat="1" ht="31.5">
      <c r="A133" s="41" t="s">
        <v>30</v>
      </c>
      <c r="B133" s="32" t="s">
        <v>11</v>
      </c>
      <c r="C133" s="33" t="s">
        <v>58</v>
      </c>
      <c r="D133" s="34" t="s">
        <v>129</v>
      </c>
      <c r="E133" s="34">
        <v>240</v>
      </c>
      <c r="F133" s="38">
        <v>400000</v>
      </c>
      <c r="G133" s="38">
        <v>0</v>
      </c>
      <c r="H133" s="36">
        <f t="shared" si="4"/>
        <v>400000</v>
      </c>
    </row>
    <row r="134" spans="1:8" s="16" customFormat="1" ht="15.75">
      <c r="A134" s="37" t="s">
        <v>130</v>
      </c>
      <c r="B134" s="32" t="s">
        <v>11</v>
      </c>
      <c r="C134" s="33" t="s">
        <v>58</v>
      </c>
      <c r="D134" s="34" t="s">
        <v>131</v>
      </c>
      <c r="E134" s="34"/>
      <c r="F134" s="38">
        <f>F135</f>
        <v>2500000</v>
      </c>
      <c r="G134" s="38">
        <f>G135</f>
        <v>-1440455.66</v>
      </c>
      <c r="H134" s="36">
        <f t="shared" si="4"/>
        <v>1059544.34</v>
      </c>
    </row>
    <row r="135" spans="1:8" s="16" customFormat="1" ht="15.75">
      <c r="A135" s="41" t="s">
        <v>36</v>
      </c>
      <c r="B135" s="32" t="s">
        <v>11</v>
      </c>
      <c r="C135" s="33" t="s">
        <v>58</v>
      </c>
      <c r="D135" s="34" t="s">
        <v>131</v>
      </c>
      <c r="E135" s="34">
        <v>800</v>
      </c>
      <c r="F135" s="38">
        <f>F136</f>
        <v>2500000</v>
      </c>
      <c r="G135" s="38">
        <f>G136</f>
        <v>-1440455.66</v>
      </c>
      <c r="H135" s="36">
        <f t="shared" si="4"/>
        <v>1059544.34</v>
      </c>
    </row>
    <row r="136" spans="1:8" s="16" customFormat="1" ht="15.75">
      <c r="A136" s="37" t="s">
        <v>130</v>
      </c>
      <c r="B136" s="32" t="s">
        <v>11</v>
      </c>
      <c r="C136" s="33" t="s">
        <v>58</v>
      </c>
      <c r="D136" s="34" t="s">
        <v>131</v>
      </c>
      <c r="E136" s="34">
        <v>830</v>
      </c>
      <c r="F136" s="38">
        <v>2500000</v>
      </c>
      <c r="G136" s="38">
        <f>-382263.51-35000-291600-80000-170000-9999.99-200000-271592.16</f>
        <v>-1440455.66</v>
      </c>
      <c r="H136" s="36">
        <f t="shared" si="4"/>
        <v>1059544.34</v>
      </c>
    </row>
    <row r="137" spans="1:8" s="16" customFormat="1" ht="47.25">
      <c r="A137" s="37" t="s">
        <v>132</v>
      </c>
      <c r="B137" s="32" t="s">
        <v>11</v>
      </c>
      <c r="C137" s="33" t="s">
        <v>58</v>
      </c>
      <c r="D137" s="34" t="s">
        <v>133</v>
      </c>
      <c r="E137" s="34"/>
      <c r="F137" s="38">
        <f>F138</f>
        <v>45000</v>
      </c>
      <c r="G137" s="38">
        <f>G138</f>
        <v>4000</v>
      </c>
      <c r="H137" s="36">
        <f t="shared" si="4"/>
        <v>49000</v>
      </c>
    </row>
    <row r="138" spans="1:8" s="16" customFormat="1" ht="31.5">
      <c r="A138" s="41" t="s">
        <v>28</v>
      </c>
      <c r="B138" s="32" t="s">
        <v>11</v>
      </c>
      <c r="C138" s="33" t="s">
        <v>58</v>
      </c>
      <c r="D138" s="34" t="s">
        <v>133</v>
      </c>
      <c r="E138" s="34">
        <v>200</v>
      </c>
      <c r="F138" s="38">
        <f>F139</f>
        <v>45000</v>
      </c>
      <c r="G138" s="38">
        <f>G139</f>
        <v>4000</v>
      </c>
      <c r="H138" s="36">
        <f t="shared" si="4"/>
        <v>49000</v>
      </c>
    </row>
    <row r="139" spans="1:8" s="16" customFormat="1" ht="31.5">
      <c r="A139" s="41" t="s">
        <v>30</v>
      </c>
      <c r="B139" s="32" t="s">
        <v>11</v>
      </c>
      <c r="C139" s="33" t="s">
        <v>58</v>
      </c>
      <c r="D139" s="34" t="s">
        <v>133</v>
      </c>
      <c r="E139" s="34">
        <v>240</v>
      </c>
      <c r="F139" s="38">
        <v>45000</v>
      </c>
      <c r="G139" s="38">
        <v>4000</v>
      </c>
      <c r="H139" s="36">
        <f t="shared" si="4"/>
        <v>49000</v>
      </c>
    </row>
    <row r="140" spans="1:8" s="16" customFormat="1" ht="94.5">
      <c r="A140" s="41" t="s">
        <v>134</v>
      </c>
      <c r="B140" s="32" t="s">
        <v>11</v>
      </c>
      <c r="C140" s="33" t="s">
        <v>58</v>
      </c>
      <c r="D140" s="34" t="s">
        <v>135</v>
      </c>
      <c r="E140" s="34"/>
      <c r="F140" s="38">
        <f>F141</f>
        <v>0</v>
      </c>
      <c r="G140" s="38">
        <f>G141</f>
        <v>808009.98</v>
      </c>
      <c r="H140" s="36">
        <f t="shared" si="4"/>
        <v>808009.98</v>
      </c>
    </row>
    <row r="141" spans="1:8" s="16" customFormat="1" ht="35.25" customHeight="1">
      <c r="A141" s="41" t="s">
        <v>74</v>
      </c>
      <c r="B141" s="32" t="s">
        <v>11</v>
      </c>
      <c r="C141" s="33" t="s">
        <v>58</v>
      </c>
      <c r="D141" s="34" t="s">
        <v>135</v>
      </c>
      <c r="E141" s="34">
        <v>600</v>
      </c>
      <c r="F141" s="38">
        <f>F142</f>
        <v>0</v>
      </c>
      <c r="G141" s="38">
        <f>G142</f>
        <v>808009.98</v>
      </c>
      <c r="H141" s="36">
        <f t="shared" si="4"/>
        <v>808009.98</v>
      </c>
    </row>
    <row r="142" spans="1:8" s="16" customFormat="1" ht="15.75">
      <c r="A142" s="41" t="s">
        <v>75</v>
      </c>
      <c r="B142" s="32" t="s">
        <v>11</v>
      </c>
      <c r="C142" s="33" t="s">
        <v>58</v>
      </c>
      <c r="D142" s="34" t="s">
        <v>135</v>
      </c>
      <c r="E142" s="34">
        <v>610</v>
      </c>
      <c r="F142" s="38">
        <v>0</v>
      </c>
      <c r="G142" s="38">
        <v>808009.98</v>
      </c>
      <c r="H142" s="36">
        <f t="shared" si="4"/>
        <v>808009.98</v>
      </c>
    </row>
    <row r="143" spans="1:8" s="16" customFormat="1" ht="31.5">
      <c r="A143" s="23" t="s">
        <v>136</v>
      </c>
      <c r="B143" s="54" t="s">
        <v>11</v>
      </c>
      <c r="C143" s="24" t="s">
        <v>137</v>
      </c>
      <c r="D143" s="34"/>
      <c r="E143" s="34"/>
      <c r="F143" s="55">
        <f>SUM(F144,F152)</f>
        <v>38743050</v>
      </c>
      <c r="G143" s="55">
        <f>SUM(G144,G152)</f>
        <v>312400</v>
      </c>
      <c r="H143" s="21">
        <f t="shared" si="4"/>
        <v>39055450</v>
      </c>
    </row>
    <row r="144" spans="1:8" s="16" customFormat="1" ht="15.75">
      <c r="A144" s="26" t="s">
        <v>138</v>
      </c>
      <c r="B144" s="27" t="s">
        <v>11</v>
      </c>
      <c r="C144" s="28" t="s">
        <v>139</v>
      </c>
      <c r="D144" s="44"/>
      <c r="E144" s="44"/>
      <c r="F144" s="45">
        <f aca="true" t="shared" si="5" ref="F144:G146">F145</f>
        <v>4608050</v>
      </c>
      <c r="G144" s="45">
        <f t="shared" si="5"/>
        <v>0</v>
      </c>
      <c r="H144" s="30">
        <f t="shared" si="4"/>
        <v>4608050</v>
      </c>
    </row>
    <row r="145" spans="1:8" s="16" customFormat="1" ht="15.75">
      <c r="A145" s="31" t="s">
        <v>16</v>
      </c>
      <c r="B145" s="32" t="s">
        <v>11</v>
      </c>
      <c r="C145" s="33" t="s">
        <v>139</v>
      </c>
      <c r="D145" s="34" t="s">
        <v>17</v>
      </c>
      <c r="E145" s="28"/>
      <c r="F145" s="38">
        <f t="shared" si="5"/>
        <v>4608050</v>
      </c>
      <c r="G145" s="38">
        <f t="shared" si="5"/>
        <v>0</v>
      </c>
      <c r="H145" s="36">
        <f t="shared" si="4"/>
        <v>4608050</v>
      </c>
    </row>
    <row r="146" spans="1:8" s="16" customFormat="1" ht="31.5">
      <c r="A146" s="37" t="s">
        <v>18</v>
      </c>
      <c r="B146" s="32" t="s">
        <v>11</v>
      </c>
      <c r="C146" s="33" t="s">
        <v>139</v>
      </c>
      <c r="D146" s="34" t="s">
        <v>19</v>
      </c>
      <c r="E146" s="34"/>
      <c r="F146" s="38">
        <f t="shared" si="5"/>
        <v>4608050</v>
      </c>
      <c r="G146" s="38">
        <f t="shared" si="5"/>
        <v>0</v>
      </c>
      <c r="H146" s="36">
        <f t="shared" si="4"/>
        <v>4608050</v>
      </c>
    </row>
    <row r="147" spans="1:8" s="16" customFormat="1" ht="31.5">
      <c r="A147" s="41" t="s">
        <v>140</v>
      </c>
      <c r="B147" s="32" t="s">
        <v>11</v>
      </c>
      <c r="C147" s="33" t="s">
        <v>139</v>
      </c>
      <c r="D147" s="34" t="s">
        <v>141</v>
      </c>
      <c r="E147" s="33"/>
      <c r="F147" s="38">
        <f>F148+F150</f>
        <v>4608050</v>
      </c>
      <c r="G147" s="38">
        <f>G148+G150</f>
        <v>0</v>
      </c>
      <c r="H147" s="36">
        <f t="shared" si="4"/>
        <v>4608050</v>
      </c>
    </row>
    <row r="148" spans="1:8" s="16" customFormat="1" ht="78.75">
      <c r="A148" s="40" t="s">
        <v>22</v>
      </c>
      <c r="B148" s="32" t="s">
        <v>11</v>
      </c>
      <c r="C148" s="33" t="s">
        <v>139</v>
      </c>
      <c r="D148" s="34" t="s">
        <v>141</v>
      </c>
      <c r="E148" s="33" t="s">
        <v>23</v>
      </c>
      <c r="F148" s="38">
        <f>F149</f>
        <v>3639050</v>
      </c>
      <c r="G148" s="38">
        <f>G149</f>
        <v>121619.72</v>
      </c>
      <c r="H148" s="36">
        <f t="shared" si="4"/>
        <v>3760669.72</v>
      </c>
    </row>
    <row r="149" spans="1:8" s="16" customFormat="1" ht="31.5">
      <c r="A149" s="40" t="s">
        <v>24</v>
      </c>
      <c r="B149" s="32" t="s">
        <v>11</v>
      </c>
      <c r="C149" s="33" t="s">
        <v>139</v>
      </c>
      <c r="D149" s="34" t="s">
        <v>141</v>
      </c>
      <c r="E149" s="33" t="s">
        <v>25</v>
      </c>
      <c r="F149" s="38">
        <v>3639050</v>
      </c>
      <c r="G149" s="38">
        <v>121619.72</v>
      </c>
      <c r="H149" s="36">
        <f t="shared" si="4"/>
        <v>3760669.72</v>
      </c>
    </row>
    <row r="150" spans="1:8" s="16" customFormat="1" ht="31.5">
      <c r="A150" s="41" t="s">
        <v>28</v>
      </c>
      <c r="B150" s="32" t="s">
        <v>11</v>
      </c>
      <c r="C150" s="33" t="s">
        <v>139</v>
      </c>
      <c r="D150" s="34" t="s">
        <v>141</v>
      </c>
      <c r="E150" s="33" t="s">
        <v>29</v>
      </c>
      <c r="F150" s="38">
        <f>F151</f>
        <v>969000</v>
      </c>
      <c r="G150" s="38">
        <f>G151</f>
        <v>-121619.72</v>
      </c>
      <c r="H150" s="36">
        <f t="shared" si="4"/>
        <v>847380.28</v>
      </c>
    </row>
    <row r="151" spans="1:8" s="16" customFormat="1" ht="31.5">
      <c r="A151" s="40" t="s">
        <v>30</v>
      </c>
      <c r="B151" s="32" t="s">
        <v>11</v>
      </c>
      <c r="C151" s="33" t="s">
        <v>139</v>
      </c>
      <c r="D151" s="34" t="s">
        <v>141</v>
      </c>
      <c r="E151" s="33" t="s">
        <v>31</v>
      </c>
      <c r="F151" s="38">
        <v>969000</v>
      </c>
      <c r="G151" s="38">
        <v>-121619.72</v>
      </c>
      <c r="H151" s="36">
        <f t="shared" si="4"/>
        <v>847380.28</v>
      </c>
    </row>
    <row r="152" spans="1:8" s="16" customFormat="1" ht="47.25">
      <c r="A152" s="26" t="s">
        <v>142</v>
      </c>
      <c r="B152" s="27" t="s">
        <v>11</v>
      </c>
      <c r="C152" s="28" t="s">
        <v>143</v>
      </c>
      <c r="D152" s="34"/>
      <c r="E152" s="34"/>
      <c r="F152" s="45">
        <f>SUM(F153,F165)</f>
        <v>34135000</v>
      </c>
      <c r="G152" s="45">
        <f>SUM(G153,G165)</f>
        <v>312400</v>
      </c>
      <c r="H152" s="30">
        <f t="shared" si="4"/>
        <v>34447400</v>
      </c>
    </row>
    <row r="153" spans="1:8" s="16" customFormat="1" ht="47.25">
      <c r="A153" s="37" t="s">
        <v>144</v>
      </c>
      <c r="B153" s="32" t="s">
        <v>11</v>
      </c>
      <c r="C153" s="33" t="s">
        <v>143</v>
      </c>
      <c r="D153" s="34" t="s">
        <v>77</v>
      </c>
      <c r="E153" s="34"/>
      <c r="F153" s="38">
        <f>F154</f>
        <v>34135000</v>
      </c>
      <c r="G153" s="38">
        <f>G154</f>
        <v>0</v>
      </c>
      <c r="H153" s="36">
        <f t="shared" si="4"/>
        <v>34135000</v>
      </c>
    </row>
    <row r="154" spans="1:8" s="16" customFormat="1" ht="31.5">
      <c r="A154" s="51" t="s">
        <v>145</v>
      </c>
      <c r="B154" s="32" t="s">
        <v>11</v>
      </c>
      <c r="C154" s="33" t="s">
        <v>143</v>
      </c>
      <c r="D154" s="34" t="s">
        <v>146</v>
      </c>
      <c r="E154" s="34"/>
      <c r="F154" s="42">
        <f>F155+F162</f>
        <v>34135000</v>
      </c>
      <c r="G154" s="42">
        <f>G155+G162</f>
        <v>0</v>
      </c>
      <c r="H154" s="36">
        <f t="shared" si="4"/>
        <v>34135000</v>
      </c>
    </row>
    <row r="155" spans="1:8" s="16" customFormat="1" ht="63">
      <c r="A155" s="51" t="s">
        <v>147</v>
      </c>
      <c r="B155" s="32" t="s">
        <v>11</v>
      </c>
      <c r="C155" s="33" t="s">
        <v>143</v>
      </c>
      <c r="D155" s="34" t="s">
        <v>148</v>
      </c>
      <c r="E155" s="34"/>
      <c r="F155" s="42">
        <f>SUM(F156,F158,F160)</f>
        <v>33285000</v>
      </c>
      <c r="G155" s="42">
        <f>SUM(G156,G158,G160)</f>
        <v>0</v>
      </c>
      <c r="H155" s="36">
        <f t="shared" si="4"/>
        <v>33285000</v>
      </c>
    </row>
    <row r="156" spans="1:8" s="16" customFormat="1" ht="78.75">
      <c r="A156" s="40" t="s">
        <v>22</v>
      </c>
      <c r="B156" s="32" t="s">
        <v>11</v>
      </c>
      <c r="C156" s="33" t="s">
        <v>143</v>
      </c>
      <c r="D156" s="34" t="s">
        <v>148</v>
      </c>
      <c r="E156" s="34">
        <v>100</v>
      </c>
      <c r="F156" s="42">
        <f>F157</f>
        <v>29030000</v>
      </c>
      <c r="G156" s="42">
        <f>G157</f>
        <v>0</v>
      </c>
      <c r="H156" s="36">
        <f t="shared" si="4"/>
        <v>29030000</v>
      </c>
    </row>
    <row r="157" spans="1:8" s="16" customFormat="1" ht="15.75">
      <c r="A157" s="40" t="s">
        <v>69</v>
      </c>
      <c r="B157" s="32" t="s">
        <v>11</v>
      </c>
      <c r="C157" s="33" t="s">
        <v>143</v>
      </c>
      <c r="D157" s="34" t="s">
        <v>148</v>
      </c>
      <c r="E157" s="34">
        <v>110</v>
      </c>
      <c r="F157" s="42">
        <v>29030000</v>
      </c>
      <c r="G157" s="42">
        <v>0</v>
      </c>
      <c r="H157" s="36">
        <f t="shared" si="4"/>
        <v>29030000</v>
      </c>
    </row>
    <row r="158" spans="1:8" s="16" customFormat="1" ht="31.5">
      <c r="A158" s="41" t="s">
        <v>28</v>
      </c>
      <c r="B158" s="32" t="s">
        <v>11</v>
      </c>
      <c r="C158" s="33" t="s">
        <v>143</v>
      </c>
      <c r="D158" s="34" t="s">
        <v>148</v>
      </c>
      <c r="E158" s="34">
        <v>200</v>
      </c>
      <c r="F158" s="42">
        <f>F159</f>
        <v>4200000</v>
      </c>
      <c r="G158" s="42">
        <f>G159</f>
        <v>0</v>
      </c>
      <c r="H158" s="36">
        <f t="shared" si="4"/>
        <v>4200000</v>
      </c>
    </row>
    <row r="159" spans="1:8" s="16" customFormat="1" ht="31.5">
      <c r="A159" s="41" t="s">
        <v>30</v>
      </c>
      <c r="B159" s="32" t="s">
        <v>11</v>
      </c>
      <c r="C159" s="33" t="s">
        <v>143</v>
      </c>
      <c r="D159" s="34" t="s">
        <v>148</v>
      </c>
      <c r="E159" s="34">
        <v>240</v>
      </c>
      <c r="F159" s="42">
        <v>4200000</v>
      </c>
      <c r="G159" s="42">
        <v>0</v>
      </c>
      <c r="H159" s="36">
        <f t="shared" si="4"/>
        <v>4200000</v>
      </c>
    </row>
    <row r="160" spans="1:8" s="16" customFormat="1" ht="15.75">
      <c r="A160" s="41" t="s">
        <v>36</v>
      </c>
      <c r="B160" s="32" t="s">
        <v>11</v>
      </c>
      <c r="C160" s="33" t="s">
        <v>143</v>
      </c>
      <c r="D160" s="34" t="s">
        <v>148</v>
      </c>
      <c r="E160" s="34">
        <v>800</v>
      </c>
      <c r="F160" s="42">
        <f>F161</f>
        <v>55000</v>
      </c>
      <c r="G160" s="42">
        <f>G161</f>
        <v>0</v>
      </c>
      <c r="H160" s="36">
        <f t="shared" si="4"/>
        <v>55000</v>
      </c>
    </row>
    <row r="161" spans="1:8" s="16" customFormat="1" ht="15.75">
      <c r="A161" s="41" t="s">
        <v>38</v>
      </c>
      <c r="B161" s="32" t="s">
        <v>11</v>
      </c>
      <c r="C161" s="33" t="s">
        <v>143</v>
      </c>
      <c r="D161" s="34" t="s">
        <v>148</v>
      </c>
      <c r="E161" s="34">
        <v>850</v>
      </c>
      <c r="F161" s="42">
        <v>55000</v>
      </c>
      <c r="G161" s="42">
        <v>0</v>
      </c>
      <c r="H161" s="36">
        <f t="shared" si="4"/>
        <v>55000</v>
      </c>
    </row>
    <row r="162" spans="1:8" s="16" customFormat="1" ht="31.5">
      <c r="A162" s="51" t="s">
        <v>149</v>
      </c>
      <c r="B162" s="32" t="s">
        <v>11</v>
      </c>
      <c r="C162" s="33" t="s">
        <v>143</v>
      </c>
      <c r="D162" s="34" t="s">
        <v>150</v>
      </c>
      <c r="E162" s="34"/>
      <c r="F162" s="42">
        <f>F163</f>
        <v>850000</v>
      </c>
      <c r="G162" s="42">
        <f>G163</f>
        <v>0</v>
      </c>
      <c r="H162" s="36">
        <f t="shared" si="4"/>
        <v>850000</v>
      </c>
    </row>
    <row r="163" spans="1:8" s="16" customFormat="1" ht="31.5">
      <c r="A163" s="41" t="s">
        <v>28</v>
      </c>
      <c r="B163" s="32" t="s">
        <v>11</v>
      </c>
      <c r="C163" s="33" t="s">
        <v>143</v>
      </c>
      <c r="D163" s="34" t="s">
        <v>150</v>
      </c>
      <c r="E163" s="34">
        <v>200</v>
      </c>
      <c r="F163" s="42">
        <f>F164</f>
        <v>850000</v>
      </c>
      <c r="G163" s="42">
        <f>G164</f>
        <v>0</v>
      </c>
      <c r="H163" s="36">
        <f t="shared" si="4"/>
        <v>850000</v>
      </c>
    </row>
    <row r="164" spans="1:8" s="16" customFormat="1" ht="31.5">
      <c r="A164" s="41" t="s">
        <v>30</v>
      </c>
      <c r="B164" s="32" t="s">
        <v>11</v>
      </c>
      <c r="C164" s="33" t="s">
        <v>143</v>
      </c>
      <c r="D164" s="34" t="s">
        <v>150</v>
      </c>
      <c r="E164" s="34">
        <v>240</v>
      </c>
      <c r="F164" s="42">
        <v>850000</v>
      </c>
      <c r="G164" s="42">
        <v>0</v>
      </c>
      <c r="H164" s="36">
        <f t="shared" si="4"/>
        <v>850000</v>
      </c>
    </row>
    <row r="165" spans="1:8" s="16" customFormat="1" ht="15.75">
      <c r="A165" s="31" t="s">
        <v>16</v>
      </c>
      <c r="B165" s="32" t="s">
        <v>11</v>
      </c>
      <c r="C165" s="33" t="s">
        <v>143</v>
      </c>
      <c r="D165" s="34" t="s">
        <v>17</v>
      </c>
      <c r="E165" s="34"/>
      <c r="F165" s="42">
        <f aca="true" t="shared" si="6" ref="F165:G168">F166</f>
        <v>0</v>
      </c>
      <c r="G165" s="42">
        <f t="shared" si="6"/>
        <v>312400</v>
      </c>
      <c r="H165" s="36">
        <f t="shared" si="4"/>
        <v>312400</v>
      </c>
    </row>
    <row r="166" spans="1:8" s="16" customFormat="1" ht="15.75">
      <c r="A166" s="41" t="s">
        <v>151</v>
      </c>
      <c r="B166" s="32" t="s">
        <v>11</v>
      </c>
      <c r="C166" s="33" t="s">
        <v>143</v>
      </c>
      <c r="D166" s="34" t="s">
        <v>152</v>
      </c>
      <c r="E166" s="34"/>
      <c r="F166" s="42">
        <f t="shared" si="6"/>
        <v>0</v>
      </c>
      <c r="G166" s="42">
        <f t="shared" si="6"/>
        <v>312400</v>
      </c>
      <c r="H166" s="36">
        <f t="shared" si="4"/>
        <v>312400</v>
      </c>
    </row>
    <row r="167" spans="1:8" s="16" customFormat="1" ht="31.5">
      <c r="A167" s="41" t="s">
        <v>153</v>
      </c>
      <c r="B167" s="32" t="s">
        <v>11</v>
      </c>
      <c r="C167" s="33" t="s">
        <v>143</v>
      </c>
      <c r="D167" s="34" t="s">
        <v>154</v>
      </c>
      <c r="E167" s="34"/>
      <c r="F167" s="42">
        <f t="shared" si="6"/>
        <v>0</v>
      </c>
      <c r="G167" s="42">
        <f t="shared" si="6"/>
        <v>312400</v>
      </c>
      <c r="H167" s="36">
        <f t="shared" si="4"/>
        <v>312400</v>
      </c>
    </row>
    <row r="168" spans="1:8" s="16" customFormat="1" ht="31.5">
      <c r="A168" s="41" t="s">
        <v>28</v>
      </c>
      <c r="B168" s="32" t="s">
        <v>11</v>
      </c>
      <c r="C168" s="33" t="s">
        <v>143</v>
      </c>
      <c r="D168" s="34" t="s">
        <v>154</v>
      </c>
      <c r="E168" s="34">
        <v>200</v>
      </c>
      <c r="F168" s="42">
        <f t="shared" si="6"/>
        <v>0</v>
      </c>
      <c r="G168" s="42">
        <f t="shared" si="6"/>
        <v>312400</v>
      </c>
      <c r="H168" s="36">
        <f t="shared" si="4"/>
        <v>312400</v>
      </c>
    </row>
    <row r="169" spans="1:8" s="16" customFormat="1" ht="31.5">
      <c r="A169" s="41" t="s">
        <v>30</v>
      </c>
      <c r="B169" s="32" t="s">
        <v>11</v>
      </c>
      <c r="C169" s="33" t="s">
        <v>143</v>
      </c>
      <c r="D169" s="34" t="s">
        <v>154</v>
      </c>
      <c r="E169" s="34">
        <v>240</v>
      </c>
      <c r="F169" s="42">
        <v>0</v>
      </c>
      <c r="G169" s="42">
        <v>312400</v>
      </c>
      <c r="H169" s="36">
        <f t="shared" si="4"/>
        <v>312400</v>
      </c>
    </row>
    <row r="170" spans="1:8" s="16" customFormat="1" ht="15.75">
      <c r="A170" s="23" t="s">
        <v>155</v>
      </c>
      <c r="B170" s="54" t="s">
        <v>11</v>
      </c>
      <c r="C170" s="24" t="s">
        <v>156</v>
      </c>
      <c r="D170" s="50"/>
      <c r="E170" s="50"/>
      <c r="F170" s="55">
        <f>SUM(F189,F171,F236)</f>
        <v>1966563631.06</v>
      </c>
      <c r="G170" s="55">
        <f>SUM(G189,G171,G236)</f>
        <v>248355170.96</v>
      </c>
      <c r="H170" s="21">
        <f t="shared" si="4"/>
        <v>2214918802.02</v>
      </c>
    </row>
    <row r="171" spans="1:8" s="16" customFormat="1" ht="15.75">
      <c r="A171" s="26" t="s">
        <v>157</v>
      </c>
      <c r="B171" s="27" t="s">
        <v>11</v>
      </c>
      <c r="C171" s="28" t="s">
        <v>158</v>
      </c>
      <c r="D171" s="50"/>
      <c r="E171" s="50"/>
      <c r="F171" s="45">
        <f>F172</f>
        <v>1356385638.57</v>
      </c>
      <c r="G171" s="45">
        <f>G172</f>
        <v>208336742.12</v>
      </c>
      <c r="H171" s="30">
        <f t="shared" si="4"/>
        <v>1564722380.69</v>
      </c>
    </row>
    <row r="172" spans="1:8" s="16" customFormat="1" ht="15.75">
      <c r="A172" s="31" t="s">
        <v>16</v>
      </c>
      <c r="B172" s="32" t="s">
        <v>11</v>
      </c>
      <c r="C172" s="33" t="s">
        <v>158</v>
      </c>
      <c r="D172" s="34" t="s">
        <v>17</v>
      </c>
      <c r="E172" s="28"/>
      <c r="F172" s="35">
        <f>F173+F185</f>
        <v>1356385638.57</v>
      </c>
      <c r="G172" s="35">
        <f>G173+G185</f>
        <v>208336742.12</v>
      </c>
      <c r="H172" s="36">
        <f t="shared" si="4"/>
        <v>1564722380.69</v>
      </c>
    </row>
    <row r="173" spans="1:8" s="16" customFormat="1" ht="47.25">
      <c r="A173" s="37" t="s">
        <v>51</v>
      </c>
      <c r="B173" s="32" t="s">
        <v>11</v>
      </c>
      <c r="C173" s="33" t="s">
        <v>158</v>
      </c>
      <c r="D173" s="34" t="s">
        <v>52</v>
      </c>
      <c r="E173" s="34"/>
      <c r="F173" s="38">
        <f>SUM(F174,F179,F182)</f>
        <v>170000000</v>
      </c>
      <c r="G173" s="38">
        <f>SUM(G174,G179,G182)</f>
        <v>-23227414.289999995</v>
      </c>
      <c r="H173" s="36">
        <f t="shared" si="4"/>
        <v>146772585.71</v>
      </c>
    </row>
    <row r="174" spans="1:8" s="39" customFormat="1" ht="23.25" customHeight="1">
      <c r="A174" s="37" t="s">
        <v>159</v>
      </c>
      <c r="B174" s="32" t="s">
        <v>11</v>
      </c>
      <c r="C174" s="33" t="s">
        <v>158</v>
      </c>
      <c r="D174" s="34" t="s">
        <v>160</v>
      </c>
      <c r="E174" s="34"/>
      <c r="F174" s="38">
        <f>F177+F175</f>
        <v>170000000</v>
      </c>
      <c r="G174" s="38">
        <f>G177+G175</f>
        <v>-146794811.88</v>
      </c>
      <c r="H174" s="36">
        <f t="shared" si="4"/>
        <v>23205188.120000005</v>
      </c>
    </row>
    <row r="175" spans="1:8" s="39" customFormat="1" ht="31.5">
      <c r="A175" s="41" t="s">
        <v>28</v>
      </c>
      <c r="B175" s="32" t="s">
        <v>11</v>
      </c>
      <c r="C175" s="33" t="s">
        <v>158</v>
      </c>
      <c r="D175" s="34" t="s">
        <v>160</v>
      </c>
      <c r="E175" s="34">
        <v>200</v>
      </c>
      <c r="F175" s="38">
        <f>F176</f>
        <v>0</v>
      </c>
      <c r="G175" s="38">
        <f>G176</f>
        <v>23205188.120000005</v>
      </c>
      <c r="H175" s="36">
        <f t="shared" si="4"/>
        <v>23205188.120000005</v>
      </c>
    </row>
    <row r="176" spans="1:8" s="39" customFormat="1" ht="31.5">
      <c r="A176" s="41" t="s">
        <v>30</v>
      </c>
      <c r="B176" s="32" t="s">
        <v>11</v>
      </c>
      <c r="C176" s="33" t="s">
        <v>158</v>
      </c>
      <c r="D176" s="34" t="s">
        <v>160</v>
      </c>
      <c r="E176" s="34">
        <v>240</v>
      </c>
      <c r="F176" s="38">
        <v>0</v>
      </c>
      <c r="G176" s="38">
        <f>170000000-7914000-6715000-6970000-7864000-9826000-9127000-8300000-3900000-23286655.47-9565000-9610000-10535000-10000000-10810000-23156.41-12349000</f>
        <v>23205188.120000005</v>
      </c>
      <c r="H176" s="36">
        <f t="shared" si="4"/>
        <v>23205188.120000005</v>
      </c>
    </row>
    <row r="177" spans="1:8" s="16" customFormat="1" ht="15.75">
      <c r="A177" s="41" t="s">
        <v>36</v>
      </c>
      <c r="B177" s="32" t="s">
        <v>11</v>
      </c>
      <c r="C177" s="33" t="s">
        <v>158</v>
      </c>
      <c r="D177" s="34" t="s">
        <v>160</v>
      </c>
      <c r="E177" s="34">
        <v>800</v>
      </c>
      <c r="F177" s="38">
        <f>F178</f>
        <v>170000000</v>
      </c>
      <c r="G177" s="38">
        <f>G178</f>
        <v>-170000000</v>
      </c>
      <c r="H177" s="36">
        <f t="shared" si="4"/>
        <v>0</v>
      </c>
    </row>
    <row r="178" spans="1:8" s="16" customFormat="1" ht="63">
      <c r="A178" s="37" t="s">
        <v>161</v>
      </c>
      <c r="B178" s="32" t="s">
        <v>11</v>
      </c>
      <c r="C178" s="33" t="s">
        <v>158</v>
      </c>
      <c r="D178" s="34" t="s">
        <v>160</v>
      </c>
      <c r="E178" s="34">
        <v>810</v>
      </c>
      <c r="F178" s="38">
        <v>170000000</v>
      </c>
      <c r="G178" s="38">
        <v>-170000000</v>
      </c>
      <c r="H178" s="36">
        <f t="shared" si="4"/>
        <v>0</v>
      </c>
    </row>
    <row r="179" spans="1:8" s="16" customFormat="1" ht="67.5" customHeight="1">
      <c r="A179" s="37" t="s">
        <v>113</v>
      </c>
      <c r="B179" s="32" t="s">
        <v>11</v>
      </c>
      <c r="C179" s="33" t="s">
        <v>158</v>
      </c>
      <c r="D179" s="34" t="s">
        <v>114</v>
      </c>
      <c r="E179" s="34"/>
      <c r="F179" s="38">
        <f>F180</f>
        <v>0</v>
      </c>
      <c r="G179" s="38">
        <f>G180</f>
        <v>101285000</v>
      </c>
      <c r="H179" s="36">
        <f t="shared" si="4"/>
        <v>101285000</v>
      </c>
    </row>
    <row r="180" spans="1:8" s="16" customFormat="1" ht="15.75">
      <c r="A180" s="41" t="s">
        <v>36</v>
      </c>
      <c r="B180" s="32" t="s">
        <v>11</v>
      </c>
      <c r="C180" s="33" t="s">
        <v>158</v>
      </c>
      <c r="D180" s="34" t="s">
        <v>114</v>
      </c>
      <c r="E180" s="34">
        <v>800</v>
      </c>
      <c r="F180" s="38">
        <f>F181</f>
        <v>0</v>
      </c>
      <c r="G180" s="38">
        <f>G181</f>
        <v>101285000</v>
      </c>
      <c r="H180" s="36">
        <f t="shared" si="4"/>
        <v>101285000</v>
      </c>
    </row>
    <row r="181" spans="1:8" s="16" customFormat="1" ht="63">
      <c r="A181" s="37" t="s">
        <v>161</v>
      </c>
      <c r="B181" s="32" t="s">
        <v>11</v>
      </c>
      <c r="C181" s="33" t="s">
        <v>158</v>
      </c>
      <c r="D181" s="34" t="s">
        <v>114</v>
      </c>
      <c r="E181" s="34">
        <v>810</v>
      </c>
      <c r="F181" s="38">
        <v>0</v>
      </c>
      <c r="G181" s="38">
        <f>7914000+6715000+6970000+7864000+9826000+9127000+9565000+9610000+10535000+10810000+12349000</f>
        <v>101285000</v>
      </c>
      <c r="H181" s="36">
        <f t="shared" si="4"/>
        <v>101285000</v>
      </c>
    </row>
    <row r="182" spans="1:8" s="16" customFormat="1" ht="31.5">
      <c r="A182" s="37" t="s">
        <v>162</v>
      </c>
      <c r="B182" s="32" t="s">
        <v>11</v>
      </c>
      <c r="C182" s="33" t="s">
        <v>158</v>
      </c>
      <c r="D182" s="34" t="s">
        <v>163</v>
      </c>
      <c r="E182" s="34"/>
      <c r="F182" s="38">
        <f>F183</f>
        <v>0</v>
      </c>
      <c r="G182" s="38">
        <f>G183</f>
        <v>22282397.59</v>
      </c>
      <c r="H182" s="36">
        <f t="shared" si="4"/>
        <v>22282397.59</v>
      </c>
    </row>
    <row r="183" spans="1:8" s="16" customFormat="1" ht="31.5">
      <c r="A183" s="41" t="s">
        <v>28</v>
      </c>
      <c r="B183" s="32" t="s">
        <v>11</v>
      </c>
      <c r="C183" s="33" t="s">
        <v>158</v>
      </c>
      <c r="D183" s="34" t="s">
        <v>163</v>
      </c>
      <c r="E183" s="34">
        <v>200</v>
      </c>
      <c r="F183" s="38">
        <f>F184</f>
        <v>0</v>
      </c>
      <c r="G183" s="38">
        <f>G184</f>
        <v>22282397.59</v>
      </c>
      <c r="H183" s="36">
        <f t="shared" si="4"/>
        <v>22282397.59</v>
      </c>
    </row>
    <row r="184" spans="1:8" s="16" customFormat="1" ht="31.5">
      <c r="A184" s="41" t="s">
        <v>30</v>
      </c>
      <c r="B184" s="32" t="s">
        <v>11</v>
      </c>
      <c r="C184" s="33" t="s">
        <v>158</v>
      </c>
      <c r="D184" s="34" t="s">
        <v>163</v>
      </c>
      <c r="E184" s="34">
        <v>240</v>
      </c>
      <c r="F184" s="38">
        <v>0</v>
      </c>
      <c r="G184" s="38">
        <f>12282397.59+10000000</f>
        <v>22282397.59</v>
      </c>
      <c r="H184" s="36">
        <f t="shared" si="4"/>
        <v>22282397.59</v>
      </c>
    </row>
    <row r="185" spans="1:8" s="16" customFormat="1" ht="47.25">
      <c r="A185" s="37" t="s">
        <v>44</v>
      </c>
      <c r="B185" s="32" t="s">
        <v>11</v>
      </c>
      <c r="C185" s="33" t="s">
        <v>158</v>
      </c>
      <c r="D185" s="34" t="s">
        <v>45</v>
      </c>
      <c r="E185" s="34"/>
      <c r="F185" s="38">
        <f aca="true" t="shared" si="7" ref="F185:G187">F186</f>
        <v>1186385638.57</v>
      </c>
      <c r="G185" s="38">
        <f t="shared" si="7"/>
        <v>231564156.41</v>
      </c>
      <c r="H185" s="36">
        <f t="shared" si="4"/>
        <v>1417949794.98</v>
      </c>
    </row>
    <row r="186" spans="1:8" s="16" customFormat="1" ht="15.75">
      <c r="A186" s="37" t="s">
        <v>164</v>
      </c>
      <c r="B186" s="32" t="s">
        <v>11</v>
      </c>
      <c r="C186" s="33" t="s">
        <v>158</v>
      </c>
      <c r="D186" s="34" t="s">
        <v>165</v>
      </c>
      <c r="E186" s="34"/>
      <c r="F186" s="38">
        <f t="shared" si="7"/>
        <v>1186385638.57</v>
      </c>
      <c r="G186" s="38">
        <f t="shared" si="7"/>
        <v>231564156.41</v>
      </c>
      <c r="H186" s="36">
        <f t="shared" si="4"/>
        <v>1417949794.98</v>
      </c>
    </row>
    <row r="187" spans="1:8" s="16" customFormat="1" ht="31.5">
      <c r="A187" s="41" t="s">
        <v>28</v>
      </c>
      <c r="B187" s="32" t="s">
        <v>11</v>
      </c>
      <c r="C187" s="33" t="s">
        <v>158</v>
      </c>
      <c r="D187" s="34" t="s">
        <v>165</v>
      </c>
      <c r="E187" s="34">
        <v>200</v>
      </c>
      <c r="F187" s="38">
        <f t="shared" si="7"/>
        <v>1186385638.57</v>
      </c>
      <c r="G187" s="38">
        <f t="shared" si="7"/>
        <v>231564156.41</v>
      </c>
      <c r="H187" s="36">
        <f t="shared" si="4"/>
        <v>1417949794.98</v>
      </c>
    </row>
    <row r="188" spans="1:8" s="16" customFormat="1" ht="31.5">
      <c r="A188" s="41" t="s">
        <v>30</v>
      </c>
      <c r="B188" s="32" t="s">
        <v>11</v>
      </c>
      <c r="C188" s="33" t="s">
        <v>158</v>
      </c>
      <c r="D188" s="34" t="s">
        <v>165</v>
      </c>
      <c r="E188" s="34">
        <v>240</v>
      </c>
      <c r="F188" s="42">
        <f>118638.57+1186267000</f>
        <v>1186385638.57</v>
      </c>
      <c r="G188" s="42">
        <f>231541000+23156.41</f>
        <v>231564156.41</v>
      </c>
      <c r="H188" s="36">
        <f t="shared" si="4"/>
        <v>1417949794.98</v>
      </c>
    </row>
    <row r="189" spans="1:8" s="16" customFormat="1" ht="15.75">
      <c r="A189" s="26" t="s">
        <v>166</v>
      </c>
      <c r="B189" s="27" t="s">
        <v>11</v>
      </c>
      <c r="C189" s="27" t="s">
        <v>167</v>
      </c>
      <c r="D189" s="50"/>
      <c r="E189" s="50"/>
      <c r="F189" s="45">
        <f>F190</f>
        <v>585433374.79</v>
      </c>
      <c r="G189" s="45">
        <f>G190</f>
        <v>29483974.900000006</v>
      </c>
      <c r="H189" s="30">
        <f t="shared" si="4"/>
        <v>614917349.6899999</v>
      </c>
    </row>
    <row r="190" spans="1:8" s="16" customFormat="1" ht="31.5">
      <c r="A190" s="37" t="s">
        <v>168</v>
      </c>
      <c r="B190" s="32" t="s">
        <v>11</v>
      </c>
      <c r="C190" s="32" t="s">
        <v>167</v>
      </c>
      <c r="D190" s="34" t="s">
        <v>169</v>
      </c>
      <c r="E190" s="34"/>
      <c r="F190" s="38">
        <f>SUM(F191,F199,F205,F208,F213,F218,F221,F224,F233,F227,F230,F196,F202)</f>
        <v>585433374.79</v>
      </c>
      <c r="G190" s="38">
        <f>SUM(G191,G199,G205,G208,G213,G218,G221,G224,G233,G227,G230,G196,G202)</f>
        <v>29483974.900000006</v>
      </c>
      <c r="H190" s="36">
        <f t="shared" si="4"/>
        <v>614917349.6899999</v>
      </c>
    </row>
    <row r="191" spans="1:8" s="16" customFormat="1" ht="31.5">
      <c r="A191" s="37" t="s">
        <v>170</v>
      </c>
      <c r="B191" s="32" t="s">
        <v>11</v>
      </c>
      <c r="C191" s="32" t="s">
        <v>167</v>
      </c>
      <c r="D191" s="34" t="s">
        <v>171</v>
      </c>
      <c r="E191" s="34"/>
      <c r="F191" s="38">
        <f>F194+F192</f>
        <v>20000000</v>
      </c>
      <c r="G191" s="38">
        <f>G194+G192</f>
        <v>28398068.75</v>
      </c>
      <c r="H191" s="36">
        <f t="shared" si="4"/>
        <v>48398068.75</v>
      </c>
    </row>
    <row r="192" spans="1:8" s="16" customFormat="1" ht="31.5">
      <c r="A192" s="41" t="s">
        <v>28</v>
      </c>
      <c r="B192" s="32" t="s">
        <v>11</v>
      </c>
      <c r="C192" s="32" t="s">
        <v>167</v>
      </c>
      <c r="D192" s="34" t="s">
        <v>171</v>
      </c>
      <c r="E192" s="34">
        <v>200</v>
      </c>
      <c r="F192" s="38">
        <f>F193</f>
        <v>0</v>
      </c>
      <c r="G192" s="38">
        <f>G193</f>
        <v>19055481.95</v>
      </c>
      <c r="H192" s="36">
        <f t="shared" si="4"/>
        <v>19055481.95</v>
      </c>
    </row>
    <row r="193" spans="1:8" s="16" customFormat="1" ht="31.5">
      <c r="A193" s="41" t="s">
        <v>30</v>
      </c>
      <c r="B193" s="32" t="s">
        <v>11</v>
      </c>
      <c r="C193" s="32" t="s">
        <v>167</v>
      </c>
      <c r="D193" s="34" t="s">
        <v>171</v>
      </c>
      <c r="E193" s="34">
        <v>240</v>
      </c>
      <c r="F193" s="38">
        <v>0</v>
      </c>
      <c r="G193" s="38">
        <f>8448293.95+10527314.77+3079873.23-3000000</f>
        <v>19055481.95</v>
      </c>
      <c r="H193" s="36">
        <f t="shared" si="4"/>
        <v>19055481.95</v>
      </c>
    </row>
    <row r="194" spans="1:8" s="16" customFormat="1" ht="15.75">
      <c r="A194" s="37" t="s">
        <v>36</v>
      </c>
      <c r="B194" s="32" t="s">
        <v>11</v>
      </c>
      <c r="C194" s="32" t="s">
        <v>167</v>
      </c>
      <c r="D194" s="34" t="s">
        <v>171</v>
      </c>
      <c r="E194" s="34">
        <v>800</v>
      </c>
      <c r="F194" s="38">
        <f>F195</f>
        <v>20000000</v>
      </c>
      <c r="G194" s="38">
        <f>G195</f>
        <v>9342586.8</v>
      </c>
      <c r="H194" s="36">
        <f t="shared" si="4"/>
        <v>29342586.8</v>
      </c>
    </row>
    <row r="195" spans="1:8" s="16" customFormat="1" ht="57" customHeight="1">
      <c r="A195" s="37" t="s">
        <v>161</v>
      </c>
      <c r="B195" s="32" t="s">
        <v>11</v>
      </c>
      <c r="C195" s="32" t="s">
        <v>167</v>
      </c>
      <c r="D195" s="34" t="s">
        <v>171</v>
      </c>
      <c r="E195" s="34">
        <v>810</v>
      </c>
      <c r="F195" s="38">
        <f>10000000+10000000</f>
        <v>20000000</v>
      </c>
      <c r="G195" s="38">
        <f>5489685.6+3852901.2</f>
        <v>9342586.8</v>
      </c>
      <c r="H195" s="36">
        <f t="shared" si="4"/>
        <v>29342586.8</v>
      </c>
    </row>
    <row r="196" spans="1:8" s="16" customFormat="1" ht="57" customHeight="1">
      <c r="A196" s="37" t="s">
        <v>172</v>
      </c>
      <c r="B196" s="32" t="s">
        <v>11</v>
      </c>
      <c r="C196" s="32" t="s">
        <v>167</v>
      </c>
      <c r="D196" s="34" t="s">
        <v>173</v>
      </c>
      <c r="E196" s="34"/>
      <c r="F196" s="38">
        <f>F197</f>
        <v>0</v>
      </c>
      <c r="G196" s="38">
        <f>G197</f>
        <v>45125445.56</v>
      </c>
      <c r="H196" s="36">
        <f t="shared" si="4"/>
        <v>45125445.56</v>
      </c>
    </row>
    <row r="197" spans="1:8" s="16" customFormat="1" ht="31.5">
      <c r="A197" s="41" t="s">
        <v>28</v>
      </c>
      <c r="B197" s="32" t="s">
        <v>11</v>
      </c>
      <c r="C197" s="32" t="s">
        <v>167</v>
      </c>
      <c r="D197" s="34" t="s">
        <v>173</v>
      </c>
      <c r="E197" s="34">
        <v>200</v>
      </c>
      <c r="F197" s="38">
        <f>F198</f>
        <v>0</v>
      </c>
      <c r="G197" s="38">
        <f>G198</f>
        <v>45125445.56</v>
      </c>
      <c r="H197" s="36">
        <f t="shared" si="4"/>
        <v>45125445.56</v>
      </c>
    </row>
    <row r="198" spans="1:8" s="16" customFormat="1" ht="31.5">
      <c r="A198" s="41" t="s">
        <v>30</v>
      </c>
      <c r="B198" s="32" t="s">
        <v>11</v>
      </c>
      <c r="C198" s="32" t="s">
        <v>167</v>
      </c>
      <c r="D198" s="34" t="s">
        <v>173</v>
      </c>
      <c r="E198" s="34">
        <v>240</v>
      </c>
      <c r="F198" s="38">
        <v>0</v>
      </c>
      <c r="G198" s="38">
        <f>34705496.57+1845842.63+8959437.47-385331.11</f>
        <v>45125445.56</v>
      </c>
      <c r="H198" s="36">
        <f t="shared" si="4"/>
        <v>45125445.56</v>
      </c>
    </row>
    <row r="199" spans="1:8" s="16" customFormat="1" ht="31.5">
      <c r="A199" s="37" t="s">
        <v>174</v>
      </c>
      <c r="B199" s="32" t="s">
        <v>11</v>
      </c>
      <c r="C199" s="32" t="s">
        <v>167</v>
      </c>
      <c r="D199" s="34" t="s">
        <v>175</v>
      </c>
      <c r="E199" s="34"/>
      <c r="F199" s="38">
        <f>F200</f>
        <v>5000000</v>
      </c>
      <c r="G199" s="38">
        <f>G200</f>
        <v>-360935.97</v>
      </c>
      <c r="H199" s="36">
        <f t="shared" si="4"/>
        <v>4639064.03</v>
      </c>
    </row>
    <row r="200" spans="1:8" s="39" customFormat="1" ht="15.75">
      <c r="A200" s="41" t="s">
        <v>36</v>
      </c>
      <c r="B200" s="32" t="s">
        <v>11</v>
      </c>
      <c r="C200" s="32" t="s">
        <v>167</v>
      </c>
      <c r="D200" s="34" t="s">
        <v>175</v>
      </c>
      <c r="E200" s="34">
        <v>800</v>
      </c>
      <c r="F200" s="38">
        <f>F201</f>
        <v>5000000</v>
      </c>
      <c r="G200" s="38">
        <f>G201</f>
        <v>-360935.97</v>
      </c>
      <c r="H200" s="36">
        <f t="shared" si="4"/>
        <v>4639064.03</v>
      </c>
    </row>
    <row r="201" spans="1:8" s="39" customFormat="1" ht="48.75" customHeight="1">
      <c r="A201" s="37" t="s">
        <v>161</v>
      </c>
      <c r="B201" s="32" t="s">
        <v>11</v>
      </c>
      <c r="C201" s="32" t="s">
        <v>167</v>
      </c>
      <c r="D201" s="34" t="s">
        <v>175</v>
      </c>
      <c r="E201" s="34">
        <v>810</v>
      </c>
      <c r="F201" s="38">
        <v>5000000</v>
      </c>
      <c r="G201" s="38">
        <v>-360935.97</v>
      </c>
      <c r="H201" s="36">
        <f t="shared" si="4"/>
        <v>4639064.03</v>
      </c>
    </row>
    <row r="202" spans="1:8" s="39" customFormat="1" ht="116.25" customHeight="1">
      <c r="A202" s="37" t="s">
        <v>176</v>
      </c>
      <c r="B202" s="32" t="s">
        <v>11</v>
      </c>
      <c r="C202" s="32" t="s">
        <v>167</v>
      </c>
      <c r="D202" s="34" t="s">
        <v>177</v>
      </c>
      <c r="E202" s="34"/>
      <c r="F202" s="38">
        <f>F203</f>
        <v>0</v>
      </c>
      <c r="G202" s="38">
        <f>G203</f>
        <v>742400</v>
      </c>
      <c r="H202" s="36">
        <f t="shared" si="4"/>
        <v>742400</v>
      </c>
    </row>
    <row r="203" spans="1:8" s="39" customFormat="1" ht="23.25" customHeight="1">
      <c r="A203" s="41" t="s">
        <v>36</v>
      </c>
      <c r="B203" s="32" t="s">
        <v>11</v>
      </c>
      <c r="C203" s="32" t="s">
        <v>167</v>
      </c>
      <c r="D203" s="34" t="s">
        <v>177</v>
      </c>
      <c r="E203" s="34">
        <v>800</v>
      </c>
      <c r="F203" s="38">
        <f>F204</f>
        <v>0</v>
      </c>
      <c r="G203" s="38">
        <f>G204</f>
        <v>742400</v>
      </c>
      <c r="H203" s="36">
        <f t="shared" si="4"/>
        <v>742400</v>
      </c>
    </row>
    <row r="204" spans="1:8" s="39" customFormat="1" ht="47.25" customHeight="1">
      <c r="A204" s="37" t="s">
        <v>161</v>
      </c>
      <c r="B204" s="32" t="s">
        <v>11</v>
      </c>
      <c r="C204" s="32" t="s">
        <v>167</v>
      </c>
      <c r="D204" s="34" t="s">
        <v>177</v>
      </c>
      <c r="E204" s="34">
        <v>810</v>
      </c>
      <c r="F204" s="38">
        <v>0</v>
      </c>
      <c r="G204" s="38">
        <v>742400</v>
      </c>
      <c r="H204" s="36">
        <f t="shared" si="4"/>
        <v>742400</v>
      </c>
    </row>
    <row r="205" spans="1:8" s="39" customFormat="1" ht="47.25">
      <c r="A205" s="37" t="s">
        <v>178</v>
      </c>
      <c r="B205" s="32" t="s">
        <v>11</v>
      </c>
      <c r="C205" s="32" t="s">
        <v>167</v>
      </c>
      <c r="D205" s="34" t="s">
        <v>179</v>
      </c>
      <c r="E205" s="34"/>
      <c r="F205" s="38">
        <f>F206</f>
        <v>30000000</v>
      </c>
      <c r="G205" s="38">
        <f>G206</f>
        <v>-3044710.25</v>
      </c>
      <c r="H205" s="36">
        <f t="shared" si="4"/>
        <v>26955289.75</v>
      </c>
    </row>
    <row r="206" spans="1:8" s="39" customFormat="1" ht="15.75">
      <c r="A206" s="41" t="s">
        <v>36</v>
      </c>
      <c r="B206" s="32" t="s">
        <v>11</v>
      </c>
      <c r="C206" s="32" t="s">
        <v>167</v>
      </c>
      <c r="D206" s="34" t="s">
        <v>179</v>
      </c>
      <c r="E206" s="34">
        <v>800</v>
      </c>
      <c r="F206" s="38">
        <f>F207</f>
        <v>30000000</v>
      </c>
      <c r="G206" s="38">
        <f>G207</f>
        <v>-3044710.25</v>
      </c>
      <c r="H206" s="36">
        <f t="shared" si="4"/>
        <v>26955289.75</v>
      </c>
    </row>
    <row r="207" spans="1:8" s="39" customFormat="1" ht="51" customHeight="1">
      <c r="A207" s="37" t="s">
        <v>161</v>
      </c>
      <c r="B207" s="32" t="s">
        <v>11</v>
      </c>
      <c r="C207" s="32" t="s">
        <v>167</v>
      </c>
      <c r="D207" s="34" t="s">
        <v>179</v>
      </c>
      <c r="E207" s="34">
        <v>810</v>
      </c>
      <c r="F207" s="38">
        <f>28000000+2000000</f>
        <v>30000000</v>
      </c>
      <c r="G207" s="38">
        <v>-3044710.25</v>
      </c>
      <c r="H207" s="36">
        <f t="shared" si="4"/>
        <v>26955289.75</v>
      </c>
    </row>
    <row r="208" spans="1:8" ht="31.5">
      <c r="A208" s="37" t="s">
        <v>180</v>
      </c>
      <c r="B208" s="32" t="s">
        <v>11</v>
      </c>
      <c r="C208" s="32" t="s">
        <v>167</v>
      </c>
      <c r="D208" s="34" t="s">
        <v>181</v>
      </c>
      <c r="E208" s="34"/>
      <c r="F208" s="38">
        <f>SUM(F209,F211)</f>
        <v>300840070</v>
      </c>
      <c r="G208" s="38">
        <f>SUM(G209,G211)</f>
        <v>-15066969.159999996</v>
      </c>
      <c r="H208" s="36">
        <f t="shared" si="4"/>
        <v>285773100.84000003</v>
      </c>
    </row>
    <row r="209" spans="1:8" ht="31.5">
      <c r="A209" s="41" t="s">
        <v>28</v>
      </c>
      <c r="B209" s="32" t="s">
        <v>11</v>
      </c>
      <c r="C209" s="32" t="s">
        <v>167</v>
      </c>
      <c r="D209" s="34" t="s">
        <v>181</v>
      </c>
      <c r="E209" s="34">
        <v>200</v>
      </c>
      <c r="F209" s="38">
        <f>F210</f>
        <v>840070</v>
      </c>
      <c r="G209" s="38">
        <f>G210</f>
        <v>342398.84</v>
      </c>
      <c r="H209" s="36">
        <f t="shared" si="4"/>
        <v>1182468.84</v>
      </c>
    </row>
    <row r="210" spans="1:8" ht="31.5">
      <c r="A210" s="41" t="s">
        <v>30</v>
      </c>
      <c r="B210" s="32" t="s">
        <v>11</v>
      </c>
      <c r="C210" s="32" t="s">
        <v>167</v>
      </c>
      <c r="D210" s="34" t="s">
        <v>181</v>
      </c>
      <c r="E210" s="34">
        <v>240</v>
      </c>
      <c r="F210" s="38">
        <v>840070</v>
      </c>
      <c r="G210" s="38">
        <f>171199.42+171199.42</f>
        <v>342398.84</v>
      </c>
      <c r="H210" s="36">
        <f t="shared" si="4"/>
        <v>1182468.84</v>
      </c>
    </row>
    <row r="211" spans="1:8" ht="15.75">
      <c r="A211" s="37" t="s">
        <v>36</v>
      </c>
      <c r="B211" s="32" t="s">
        <v>11</v>
      </c>
      <c r="C211" s="32" t="s">
        <v>167</v>
      </c>
      <c r="D211" s="34" t="s">
        <v>181</v>
      </c>
      <c r="E211" s="34">
        <v>800</v>
      </c>
      <c r="F211" s="38">
        <f>F212</f>
        <v>300000000</v>
      </c>
      <c r="G211" s="38">
        <f>G212</f>
        <v>-15409367.999999996</v>
      </c>
      <c r="H211" s="36">
        <f t="shared" si="4"/>
        <v>284590632</v>
      </c>
    </row>
    <row r="212" spans="1:8" ht="63">
      <c r="A212" s="37" t="s">
        <v>161</v>
      </c>
      <c r="B212" s="32" t="s">
        <v>11</v>
      </c>
      <c r="C212" s="32" t="s">
        <v>167</v>
      </c>
      <c r="D212" s="34" t="s">
        <v>181</v>
      </c>
      <c r="E212" s="34">
        <v>810</v>
      </c>
      <c r="F212" s="38">
        <f>310000000-10000000</f>
        <v>300000000</v>
      </c>
      <c r="G212" s="38">
        <f>-3700000-10527314.77+3700000-30322000+10409368+15030578.77</f>
        <v>-15409367.999999996</v>
      </c>
      <c r="H212" s="36">
        <f t="shared" si="4"/>
        <v>284590632</v>
      </c>
    </row>
    <row r="213" spans="1:8" ht="31.5">
      <c r="A213" s="31" t="s">
        <v>182</v>
      </c>
      <c r="B213" s="32" t="s">
        <v>11</v>
      </c>
      <c r="C213" s="32" t="s">
        <v>167</v>
      </c>
      <c r="D213" s="34" t="s">
        <v>183</v>
      </c>
      <c r="E213" s="34"/>
      <c r="F213" s="38">
        <f>SUM(F216,F214)</f>
        <v>20000000</v>
      </c>
      <c r="G213" s="38">
        <f>SUM(G216,G214)</f>
        <v>661471.5499999999</v>
      </c>
      <c r="H213" s="36">
        <f t="shared" si="4"/>
        <v>20661471.55</v>
      </c>
    </row>
    <row r="214" spans="1:8" ht="31.5">
      <c r="A214" s="41" t="s">
        <v>28</v>
      </c>
      <c r="B214" s="32" t="s">
        <v>11</v>
      </c>
      <c r="C214" s="32" t="s">
        <v>167</v>
      </c>
      <c r="D214" s="34" t="s">
        <v>183</v>
      </c>
      <c r="E214" s="34">
        <v>200</v>
      </c>
      <c r="F214" s="38">
        <f>F215</f>
        <v>0</v>
      </c>
      <c r="G214" s="38">
        <f>G215</f>
        <v>189736.54999999996</v>
      </c>
      <c r="H214" s="36">
        <f t="shared" si="4"/>
        <v>189736.54999999996</v>
      </c>
    </row>
    <row r="215" spans="1:8" ht="31.5">
      <c r="A215" s="41" t="s">
        <v>30</v>
      </c>
      <c r="B215" s="32" t="s">
        <v>11</v>
      </c>
      <c r="C215" s="32" t="s">
        <v>167</v>
      </c>
      <c r="D215" s="34" t="s">
        <v>183</v>
      </c>
      <c r="E215" s="34">
        <v>240</v>
      </c>
      <c r="F215" s="38">
        <v>0</v>
      </c>
      <c r="G215" s="38">
        <f>360935.97-171199.42</f>
        <v>189736.54999999996</v>
      </c>
      <c r="H215" s="36">
        <f t="shared" si="4"/>
        <v>189736.54999999996</v>
      </c>
    </row>
    <row r="216" spans="1:8" ht="15.75">
      <c r="A216" s="37" t="s">
        <v>36</v>
      </c>
      <c r="B216" s="32" t="s">
        <v>11</v>
      </c>
      <c r="C216" s="32" t="s">
        <v>167</v>
      </c>
      <c r="D216" s="34" t="s">
        <v>183</v>
      </c>
      <c r="E216" s="34">
        <v>800</v>
      </c>
      <c r="F216" s="38">
        <f>F217</f>
        <v>20000000</v>
      </c>
      <c r="G216" s="38">
        <f>G217</f>
        <v>471735</v>
      </c>
      <c r="H216" s="36">
        <f t="shared" si="4"/>
        <v>20471735</v>
      </c>
    </row>
    <row r="217" spans="1:8" ht="52.5" customHeight="1">
      <c r="A217" s="37" t="s">
        <v>161</v>
      </c>
      <c r="B217" s="32" t="s">
        <v>11</v>
      </c>
      <c r="C217" s="32" t="s">
        <v>167</v>
      </c>
      <c r="D217" s="34" t="s">
        <v>183</v>
      </c>
      <c r="E217" s="34">
        <v>810</v>
      </c>
      <c r="F217" s="38">
        <v>20000000</v>
      </c>
      <c r="G217" s="38">
        <v>471735</v>
      </c>
      <c r="H217" s="36">
        <f t="shared" si="4"/>
        <v>20471735</v>
      </c>
    </row>
    <row r="218" spans="1:8" ht="63">
      <c r="A218" s="37" t="s">
        <v>184</v>
      </c>
      <c r="B218" s="32" t="s">
        <v>11</v>
      </c>
      <c r="C218" s="32" t="s">
        <v>167</v>
      </c>
      <c r="D218" s="34" t="s">
        <v>185</v>
      </c>
      <c r="E218" s="34"/>
      <c r="F218" s="38">
        <f>F219</f>
        <v>12445448.94</v>
      </c>
      <c r="G218" s="38">
        <f>G219</f>
        <v>-8564106.370000001</v>
      </c>
      <c r="H218" s="36">
        <f t="shared" si="4"/>
        <v>3881342.5699999984</v>
      </c>
    </row>
    <row r="219" spans="1:8" ht="31.5">
      <c r="A219" s="41" t="s">
        <v>28</v>
      </c>
      <c r="B219" s="32" t="s">
        <v>11</v>
      </c>
      <c r="C219" s="32" t="s">
        <v>167</v>
      </c>
      <c r="D219" s="34" t="s">
        <v>185</v>
      </c>
      <c r="E219" s="34">
        <v>200</v>
      </c>
      <c r="F219" s="38">
        <f>F220</f>
        <v>12445448.94</v>
      </c>
      <c r="G219" s="38">
        <f>G220</f>
        <v>-8564106.370000001</v>
      </c>
      <c r="H219" s="36">
        <f t="shared" si="4"/>
        <v>3881342.5699999984</v>
      </c>
    </row>
    <row r="220" spans="1:8" ht="31.5">
      <c r="A220" s="41" t="s">
        <v>30</v>
      </c>
      <c r="B220" s="32" t="s">
        <v>11</v>
      </c>
      <c r="C220" s="32" t="s">
        <v>167</v>
      </c>
      <c r="D220" s="34" t="s">
        <v>185</v>
      </c>
      <c r="E220" s="34">
        <v>240</v>
      </c>
      <c r="F220" s="38">
        <f>619000.17+11826448.77</f>
        <v>12445448.94</v>
      </c>
      <c r="G220" s="38">
        <f>9999.99-8959437.47+385331.11</f>
        <v>-8564106.370000001</v>
      </c>
      <c r="H220" s="36">
        <f t="shared" si="4"/>
        <v>3881342.5699999984</v>
      </c>
    </row>
    <row r="221" spans="1:8" ht="31.5">
      <c r="A221" s="37" t="s">
        <v>186</v>
      </c>
      <c r="B221" s="32" t="s">
        <v>11</v>
      </c>
      <c r="C221" s="32" t="s">
        <v>167</v>
      </c>
      <c r="D221" s="33" t="s">
        <v>187</v>
      </c>
      <c r="E221" s="34"/>
      <c r="F221" s="38">
        <f>F222</f>
        <v>60895101.97</v>
      </c>
      <c r="G221" s="38">
        <f>G222</f>
        <v>-34993759.74</v>
      </c>
      <c r="H221" s="36">
        <f t="shared" si="4"/>
        <v>25901342.229999997</v>
      </c>
    </row>
    <row r="222" spans="1:8" ht="31.5">
      <c r="A222" s="37" t="s">
        <v>118</v>
      </c>
      <c r="B222" s="32" t="s">
        <v>11</v>
      </c>
      <c r="C222" s="32" t="s">
        <v>167</v>
      </c>
      <c r="D222" s="33" t="s">
        <v>187</v>
      </c>
      <c r="E222" s="34">
        <v>400</v>
      </c>
      <c r="F222" s="38">
        <f>F223</f>
        <v>60895101.97</v>
      </c>
      <c r="G222" s="38">
        <f>G223</f>
        <v>-34993759.74</v>
      </c>
      <c r="H222" s="36">
        <f t="shared" si="4"/>
        <v>25901342.229999997</v>
      </c>
    </row>
    <row r="223" spans="1:8" ht="15.75">
      <c r="A223" s="37" t="s">
        <v>119</v>
      </c>
      <c r="B223" s="32" t="s">
        <v>11</v>
      </c>
      <c r="C223" s="32" t="s">
        <v>167</v>
      </c>
      <c r="D223" s="33" t="s">
        <v>187</v>
      </c>
      <c r="E223" s="34">
        <v>410</v>
      </c>
      <c r="F223" s="38">
        <f>61120000+817530+142372.35-1184800.38</f>
        <v>60895101.97</v>
      </c>
      <c r="G223" s="38">
        <f>7532648.52-452000+1752.21-311416.67-300000-144000-250000-177747.6-3079873.23-1711776-1376330-38863.21-5158000-295829.74-200000-20460998.91-250000-215420-438500-103833.62+136428.51-300000-100000-200000-100000-7000000</f>
        <v>-34993759.74</v>
      </c>
      <c r="H223" s="36">
        <f t="shared" si="4"/>
        <v>25901342.229999997</v>
      </c>
    </row>
    <row r="224" spans="1:8" ht="47.25">
      <c r="A224" s="37" t="s">
        <v>188</v>
      </c>
      <c r="B224" s="32" t="s">
        <v>11</v>
      </c>
      <c r="C224" s="32" t="s">
        <v>167</v>
      </c>
      <c r="D224" s="33" t="s">
        <v>189</v>
      </c>
      <c r="E224" s="34"/>
      <c r="F224" s="38">
        <f>F225</f>
        <v>1291246.77</v>
      </c>
      <c r="G224" s="38">
        <f>G225</f>
        <v>21995408.7</v>
      </c>
      <c r="H224" s="36">
        <f t="shared" si="4"/>
        <v>23286655.47</v>
      </c>
    </row>
    <row r="225" spans="1:8" ht="31.5">
      <c r="A225" s="37" t="s">
        <v>118</v>
      </c>
      <c r="B225" s="32" t="s">
        <v>11</v>
      </c>
      <c r="C225" s="32" t="s">
        <v>167</v>
      </c>
      <c r="D225" s="33" t="s">
        <v>189</v>
      </c>
      <c r="E225" s="34">
        <v>400</v>
      </c>
      <c r="F225" s="38">
        <f>F226</f>
        <v>1291246.77</v>
      </c>
      <c r="G225" s="38">
        <f>G226</f>
        <v>21995408.7</v>
      </c>
      <c r="H225" s="36">
        <f t="shared" si="4"/>
        <v>23286655.47</v>
      </c>
    </row>
    <row r="226" spans="1:8" ht="15.75">
      <c r="A226" s="37" t="s">
        <v>119</v>
      </c>
      <c r="B226" s="32" t="s">
        <v>11</v>
      </c>
      <c r="C226" s="32" t="s">
        <v>167</v>
      </c>
      <c r="D226" s="33" t="s">
        <v>189</v>
      </c>
      <c r="E226" s="34">
        <v>410</v>
      </c>
      <c r="F226" s="38">
        <v>1291246.77</v>
      </c>
      <c r="G226" s="38">
        <f>23286655.47-1291246.77</f>
        <v>21995408.7</v>
      </c>
      <c r="H226" s="36">
        <f t="shared" si="4"/>
        <v>23286655.47</v>
      </c>
    </row>
    <row r="227" spans="1:8" ht="63">
      <c r="A227" s="37" t="s">
        <v>190</v>
      </c>
      <c r="B227" s="32" t="s">
        <v>11</v>
      </c>
      <c r="C227" s="32" t="s">
        <v>167</v>
      </c>
      <c r="D227" s="33" t="s">
        <v>191</v>
      </c>
      <c r="E227" s="34"/>
      <c r="F227" s="38">
        <f>F228</f>
        <v>92254025</v>
      </c>
      <c r="G227" s="38">
        <f>G228</f>
        <v>-13818072.14</v>
      </c>
      <c r="H227" s="36">
        <f t="shared" si="4"/>
        <v>78435952.86</v>
      </c>
    </row>
    <row r="228" spans="1:8" ht="31.5">
      <c r="A228" s="37" t="s">
        <v>118</v>
      </c>
      <c r="B228" s="32" t="s">
        <v>11</v>
      </c>
      <c r="C228" s="32" t="s">
        <v>167</v>
      </c>
      <c r="D228" s="33" t="s">
        <v>191</v>
      </c>
      <c r="E228" s="34">
        <v>400</v>
      </c>
      <c r="F228" s="38">
        <f>F229</f>
        <v>92254025</v>
      </c>
      <c r="G228" s="38">
        <f>G229</f>
        <v>-13818072.14</v>
      </c>
      <c r="H228" s="36">
        <f t="shared" si="4"/>
        <v>78435952.86</v>
      </c>
    </row>
    <row r="229" spans="1:8" ht="15.75">
      <c r="A229" s="37" t="s">
        <v>119</v>
      </c>
      <c r="B229" s="32" t="s">
        <v>11</v>
      </c>
      <c r="C229" s="32" t="s">
        <v>167</v>
      </c>
      <c r="D229" s="33" t="s">
        <v>191</v>
      </c>
      <c r="E229" s="34">
        <v>410</v>
      </c>
      <c r="F229" s="38">
        <f>91331484.75+922540.25</f>
        <v>92254025</v>
      </c>
      <c r="G229" s="38">
        <f>-173468.79-1752.21-13506422.63-136428.51</f>
        <v>-13818072.14</v>
      </c>
      <c r="H229" s="36">
        <f t="shared" si="4"/>
        <v>78435952.86</v>
      </c>
    </row>
    <row r="230" spans="1:8" ht="78.75">
      <c r="A230" s="41" t="s">
        <v>192</v>
      </c>
      <c r="B230" s="32" t="s">
        <v>11</v>
      </c>
      <c r="C230" s="32" t="s">
        <v>167</v>
      </c>
      <c r="D230" s="33" t="s">
        <v>193</v>
      </c>
      <c r="E230" s="34"/>
      <c r="F230" s="38">
        <f>F231</f>
        <v>0</v>
      </c>
      <c r="G230" s="38">
        <f>G231</f>
        <v>51117216.08</v>
      </c>
      <c r="H230" s="36">
        <f t="shared" si="4"/>
        <v>51117216.08</v>
      </c>
    </row>
    <row r="231" spans="1:8" ht="31.5">
      <c r="A231" s="41" t="s">
        <v>28</v>
      </c>
      <c r="B231" s="32" t="s">
        <v>11</v>
      </c>
      <c r="C231" s="32" t="s">
        <v>167</v>
      </c>
      <c r="D231" s="33" t="s">
        <v>193</v>
      </c>
      <c r="E231" s="34">
        <v>200</v>
      </c>
      <c r="F231" s="38">
        <f>F232</f>
        <v>0</v>
      </c>
      <c r="G231" s="38">
        <f>G232</f>
        <v>51117216.08</v>
      </c>
      <c r="H231" s="36">
        <f t="shared" si="4"/>
        <v>51117216.08</v>
      </c>
    </row>
    <row r="232" spans="1:8" ht="31.5">
      <c r="A232" s="41" t="s">
        <v>30</v>
      </c>
      <c r="B232" s="32" t="s">
        <v>11</v>
      </c>
      <c r="C232" s="32" t="s">
        <v>167</v>
      </c>
      <c r="D232" s="33" t="s">
        <v>193</v>
      </c>
      <c r="E232" s="34">
        <v>240</v>
      </c>
      <c r="F232" s="38">
        <v>0</v>
      </c>
      <c r="G232" s="38">
        <f>42707482.11+7989247.27+420486.7</f>
        <v>51117216.08</v>
      </c>
      <c r="H232" s="36">
        <f t="shared" si="4"/>
        <v>51117216.08</v>
      </c>
    </row>
    <row r="233" spans="1:8" s="39" customFormat="1" ht="78.75">
      <c r="A233" s="41" t="s">
        <v>192</v>
      </c>
      <c r="B233" s="32" t="s">
        <v>11</v>
      </c>
      <c r="C233" s="32" t="s">
        <v>167</v>
      </c>
      <c r="D233" s="33" t="s">
        <v>194</v>
      </c>
      <c r="E233" s="34"/>
      <c r="F233" s="38">
        <f>F234</f>
        <v>42707482.11</v>
      </c>
      <c r="G233" s="38">
        <f>G234</f>
        <v>-42707482.11</v>
      </c>
      <c r="H233" s="36">
        <f t="shared" si="4"/>
        <v>0</v>
      </c>
    </row>
    <row r="234" spans="1:8" s="39" customFormat="1" ht="31.5">
      <c r="A234" s="41" t="s">
        <v>28</v>
      </c>
      <c r="B234" s="32" t="s">
        <v>11</v>
      </c>
      <c r="C234" s="32" t="s">
        <v>167</v>
      </c>
      <c r="D234" s="33" t="s">
        <v>194</v>
      </c>
      <c r="E234" s="34">
        <v>200</v>
      </c>
      <c r="F234" s="38">
        <f>F235</f>
        <v>42707482.11</v>
      </c>
      <c r="G234" s="38">
        <f>G235</f>
        <v>-42707482.11</v>
      </c>
      <c r="H234" s="36">
        <f t="shared" si="4"/>
        <v>0</v>
      </c>
    </row>
    <row r="235" spans="1:8" s="39" customFormat="1" ht="31.5">
      <c r="A235" s="41" t="s">
        <v>30</v>
      </c>
      <c r="B235" s="32" t="s">
        <v>11</v>
      </c>
      <c r="C235" s="32" t="s">
        <v>167</v>
      </c>
      <c r="D235" s="33" t="s">
        <v>194</v>
      </c>
      <c r="E235" s="34">
        <v>240</v>
      </c>
      <c r="F235" s="38">
        <f>2135374.11+40572108</f>
        <v>42707482.11</v>
      </c>
      <c r="G235" s="38">
        <v>-42707482.11</v>
      </c>
      <c r="H235" s="36">
        <f t="shared" si="4"/>
        <v>0</v>
      </c>
    </row>
    <row r="236" spans="1:8" s="39" customFormat="1" ht="15.75">
      <c r="A236" s="26" t="s">
        <v>195</v>
      </c>
      <c r="B236" s="44">
        <v>440</v>
      </c>
      <c r="C236" s="28" t="s">
        <v>196</v>
      </c>
      <c r="D236" s="50"/>
      <c r="E236" s="50"/>
      <c r="F236" s="45">
        <f>SUM(F263,F237,F274,F294)</f>
        <v>24744617.7</v>
      </c>
      <c r="G236" s="45">
        <f>SUM(G263,G237,G274,G294)</f>
        <v>10534453.94</v>
      </c>
      <c r="H236" s="30">
        <f t="shared" si="4"/>
        <v>35279071.64</v>
      </c>
    </row>
    <row r="237" spans="1:8" s="39" customFormat="1" ht="47.25">
      <c r="A237" s="37" t="s">
        <v>197</v>
      </c>
      <c r="B237" s="34">
        <v>440</v>
      </c>
      <c r="C237" s="33" t="s">
        <v>196</v>
      </c>
      <c r="D237" s="34" t="s">
        <v>198</v>
      </c>
      <c r="E237" s="34"/>
      <c r="F237" s="38">
        <f>SUM(F238,F251)</f>
        <v>21887422.14</v>
      </c>
      <c r="G237" s="38">
        <f>SUM(G238,G251)</f>
        <v>10225164.25</v>
      </c>
      <c r="H237" s="36">
        <f t="shared" si="4"/>
        <v>32112586.39</v>
      </c>
    </row>
    <row r="238" spans="1:8" s="39" customFormat="1" ht="31.5">
      <c r="A238" s="37" t="s">
        <v>199</v>
      </c>
      <c r="B238" s="34">
        <v>440</v>
      </c>
      <c r="C238" s="33" t="s">
        <v>196</v>
      </c>
      <c r="D238" s="34" t="s">
        <v>200</v>
      </c>
      <c r="E238" s="34"/>
      <c r="F238" s="38">
        <f>SUM(F239,F242,F245,F248)</f>
        <v>3487422.14</v>
      </c>
      <c r="G238" s="38">
        <f>SUM(G239,G242,G245,G248)</f>
        <v>-489955.75</v>
      </c>
      <c r="H238" s="36">
        <f t="shared" si="4"/>
        <v>2997466.39</v>
      </c>
    </row>
    <row r="239" spans="1:8" s="39" customFormat="1" ht="78.75">
      <c r="A239" s="37" t="s">
        <v>201</v>
      </c>
      <c r="B239" s="34">
        <v>440</v>
      </c>
      <c r="C239" s="33" t="s">
        <v>196</v>
      </c>
      <c r="D239" s="34" t="s">
        <v>202</v>
      </c>
      <c r="E239" s="34"/>
      <c r="F239" s="38">
        <f>F240</f>
        <v>300000</v>
      </c>
      <c r="G239" s="38">
        <f>G240</f>
        <v>-300000</v>
      </c>
      <c r="H239" s="36">
        <f t="shared" si="4"/>
        <v>0</v>
      </c>
    </row>
    <row r="240" spans="1:8" s="39" customFormat="1" ht="15.75">
      <c r="A240" s="37" t="s">
        <v>36</v>
      </c>
      <c r="B240" s="34">
        <v>440</v>
      </c>
      <c r="C240" s="33" t="s">
        <v>196</v>
      </c>
      <c r="D240" s="34" t="s">
        <v>202</v>
      </c>
      <c r="E240" s="34">
        <v>800</v>
      </c>
      <c r="F240" s="38">
        <f>F241</f>
        <v>300000</v>
      </c>
      <c r="G240" s="38">
        <f>G241</f>
        <v>-300000</v>
      </c>
      <c r="H240" s="36">
        <f t="shared" si="4"/>
        <v>0</v>
      </c>
    </row>
    <row r="241" spans="1:8" s="39" customFormat="1" ht="63">
      <c r="A241" s="37" t="s">
        <v>161</v>
      </c>
      <c r="B241" s="34">
        <v>440</v>
      </c>
      <c r="C241" s="33" t="s">
        <v>196</v>
      </c>
      <c r="D241" s="34" t="s">
        <v>202</v>
      </c>
      <c r="E241" s="34">
        <v>810</v>
      </c>
      <c r="F241" s="38">
        <v>300000</v>
      </c>
      <c r="G241" s="38">
        <v>-300000</v>
      </c>
      <c r="H241" s="36">
        <f t="shared" si="4"/>
        <v>0</v>
      </c>
    </row>
    <row r="242" spans="1:8" s="39" customFormat="1" ht="31.5">
      <c r="A242" s="37" t="s">
        <v>203</v>
      </c>
      <c r="B242" s="34">
        <v>440</v>
      </c>
      <c r="C242" s="33" t="s">
        <v>196</v>
      </c>
      <c r="D242" s="34" t="s">
        <v>204</v>
      </c>
      <c r="E242" s="34"/>
      <c r="F242" s="38">
        <f>F243</f>
        <v>1800000</v>
      </c>
      <c r="G242" s="38">
        <f>G243</f>
        <v>-402533.61</v>
      </c>
      <c r="H242" s="36">
        <f t="shared" si="4"/>
        <v>1397466.3900000001</v>
      </c>
    </row>
    <row r="243" spans="1:8" s="39" customFormat="1" ht="15.75">
      <c r="A243" s="37" t="s">
        <v>36</v>
      </c>
      <c r="B243" s="34">
        <v>440</v>
      </c>
      <c r="C243" s="33" t="s">
        <v>196</v>
      </c>
      <c r="D243" s="34" t="s">
        <v>204</v>
      </c>
      <c r="E243" s="34">
        <v>800</v>
      </c>
      <c r="F243" s="38">
        <f>F244</f>
        <v>1800000</v>
      </c>
      <c r="G243" s="38">
        <f>G244</f>
        <v>-402533.61</v>
      </c>
      <c r="H243" s="36">
        <f t="shared" si="4"/>
        <v>1397466.3900000001</v>
      </c>
    </row>
    <row r="244" spans="1:8" s="39" customFormat="1" ht="63">
      <c r="A244" s="37" t="s">
        <v>161</v>
      </c>
      <c r="B244" s="34">
        <v>440</v>
      </c>
      <c r="C244" s="33" t="s">
        <v>196</v>
      </c>
      <c r="D244" s="34" t="s">
        <v>204</v>
      </c>
      <c r="E244" s="34">
        <v>810</v>
      </c>
      <c r="F244" s="38">
        <f>800000+1000000</f>
        <v>1800000</v>
      </c>
      <c r="G244" s="38">
        <f>-200000-202533.61</f>
        <v>-402533.61</v>
      </c>
      <c r="H244" s="36">
        <f t="shared" si="4"/>
        <v>1397466.3900000001</v>
      </c>
    </row>
    <row r="245" spans="1:8" s="39" customFormat="1" ht="63">
      <c r="A245" s="37" t="s">
        <v>205</v>
      </c>
      <c r="B245" s="34">
        <v>440</v>
      </c>
      <c r="C245" s="33" t="s">
        <v>196</v>
      </c>
      <c r="D245" s="34" t="s">
        <v>206</v>
      </c>
      <c r="E245" s="34"/>
      <c r="F245" s="38">
        <f>F246</f>
        <v>1287422.1400000001</v>
      </c>
      <c r="G245" s="38">
        <f>G246</f>
        <v>312577.86</v>
      </c>
      <c r="H245" s="36">
        <f t="shared" si="4"/>
        <v>1600000</v>
      </c>
    </row>
    <row r="246" spans="1:8" s="39" customFormat="1" ht="15.75">
      <c r="A246" s="37" t="s">
        <v>36</v>
      </c>
      <c r="B246" s="34">
        <v>440</v>
      </c>
      <c r="C246" s="33" t="s">
        <v>196</v>
      </c>
      <c r="D246" s="34" t="s">
        <v>206</v>
      </c>
      <c r="E246" s="34">
        <v>800</v>
      </c>
      <c r="F246" s="38">
        <f>F247</f>
        <v>1287422.1400000001</v>
      </c>
      <c r="G246" s="38">
        <f>G247</f>
        <v>312577.86</v>
      </c>
      <c r="H246" s="36">
        <f t="shared" si="4"/>
        <v>1600000</v>
      </c>
    </row>
    <row r="247" spans="1:8" s="39" customFormat="1" ht="63">
      <c r="A247" s="37" t="s">
        <v>161</v>
      </c>
      <c r="B247" s="34">
        <v>440</v>
      </c>
      <c r="C247" s="33" t="s">
        <v>196</v>
      </c>
      <c r="D247" s="34" t="s">
        <v>206</v>
      </c>
      <c r="E247" s="34">
        <v>810</v>
      </c>
      <c r="F247" s="38">
        <f>600000+687422.14</f>
        <v>1287422.1400000001</v>
      </c>
      <c r="G247" s="38">
        <f>139563.49-29519.24+202533.61</f>
        <v>312577.86</v>
      </c>
      <c r="H247" s="36">
        <f t="shared" si="4"/>
        <v>1600000</v>
      </c>
    </row>
    <row r="248" spans="1:8" s="16" customFormat="1" ht="47.25">
      <c r="A248" s="37" t="s">
        <v>207</v>
      </c>
      <c r="B248" s="34">
        <v>440</v>
      </c>
      <c r="C248" s="33" t="s">
        <v>196</v>
      </c>
      <c r="D248" s="34" t="s">
        <v>208</v>
      </c>
      <c r="E248" s="34"/>
      <c r="F248" s="38">
        <f>F249</f>
        <v>100000</v>
      </c>
      <c r="G248" s="38">
        <f>G249</f>
        <v>-100000</v>
      </c>
      <c r="H248" s="36">
        <f t="shared" si="4"/>
        <v>0</v>
      </c>
    </row>
    <row r="249" spans="1:8" s="39" customFormat="1" ht="31.5">
      <c r="A249" s="41" t="s">
        <v>28</v>
      </c>
      <c r="B249" s="34">
        <v>440</v>
      </c>
      <c r="C249" s="33" t="s">
        <v>196</v>
      </c>
      <c r="D249" s="34" t="s">
        <v>208</v>
      </c>
      <c r="E249" s="34">
        <v>200</v>
      </c>
      <c r="F249" s="38">
        <f>F250</f>
        <v>100000</v>
      </c>
      <c r="G249" s="38">
        <f>G250</f>
        <v>-100000</v>
      </c>
      <c r="H249" s="36">
        <f t="shared" si="4"/>
        <v>0</v>
      </c>
    </row>
    <row r="250" spans="1:8" s="39" customFormat="1" ht="31.5">
      <c r="A250" s="41" t="s">
        <v>30</v>
      </c>
      <c r="B250" s="34">
        <v>440</v>
      </c>
      <c r="C250" s="33" t="s">
        <v>196</v>
      </c>
      <c r="D250" s="34" t="s">
        <v>208</v>
      </c>
      <c r="E250" s="34">
        <v>240</v>
      </c>
      <c r="F250" s="38">
        <v>100000</v>
      </c>
      <c r="G250" s="38">
        <v>-100000</v>
      </c>
      <c r="H250" s="36">
        <f t="shared" si="4"/>
        <v>0</v>
      </c>
    </row>
    <row r="251" spans="1:8" ht="31.5">
      <c r="A251" s="37" t="s">
        <v>209</v>
      </c>
      <c r="B251" s="34">
        <v>440</v>
      </c>
      <c r="C251" s="33" t="s">
        <v>196</v>
      </c>
      <c r="D251" s="34" t="s">
        <v>210</v>
      </c>
      <c r="E251" s="34"/>
      <c r="F251" s="38">
        <f>SUM(F252,F257,F260)</f>
        <v>18400000</v>
      </c>
      <c r="G251" s="38">
        <f>SUM(G252,G257,G260)</f>
        <v>10715120</v>
      </c>
      <c r="H251" s="36">
        <f t="shared" si="4"/>
        <v>29115120</v>
      </c>
    </row>
    <row r="252" spans="1:8" ht="47.25">
      <c r="A252" s="37" t="s">
        <v>211</v>
      </c>
      <c r="B252" s="34">
        <v>440</v>
      </c>
      <c r="C252" s="33" t="s">
        <v>196</v>
      </c>
      <c r="D252" s="34" t="s">
        <v>212</v>
      </c>
      <c r="E252" s="34"/>
      <c r="F252" s="38">
        <f>SUM(F253,F255)</f>
        <v>1500000</v>
      </c>
      <c r="G252" s="38">
        <f>SUM(G253,G255)</f>
        <v>0</v>
      </c>
      <c r="H252" s="36">
        <f t="shared" si="4"/>
        <v>1500000</v>
      </c>
    </row>
    <row r="253" spans="1:8" ht="31.5">
      <c r="A253" s="41" t="s">
        <v>74</v>
      </c>
      <c r="B253" s="34">
        <v>440</v>
      </c>
      <c r="C253" s="33" t="s">
        <v>196</v>
      </c>
      <c r="D253" s="34" t="s">
        <v>212</v>
      </c>
      <c r="E253" s="34">
        <v>600</v>
      </c>
      <c r="F253" s="38">
        <f>F254</f>
        <v>1500000</v>
      </c>
      <c r="G253" s="38">
        <f>G254</f>
        <v>-1300000</v>
      </c>
      <c r="H253" s="36">
        <f t="shared" si="4"/>
        <v>200000</v>
      </c>
    </row>
    <row r="254" spans="1:8" ht="47.25">
      <c r="A254" s="41" t="s">
        <v>84</v>
      </c>
      <c r="B254" s="34">
        <v>440</v>
      </c>
      <c r="C254" s="33" t="s">
        <v>196</v>
      </c>
      <c r="D254" s="34" t="s">
        <v>212</v>
      </c>
      <c r="E254" s="34">
        <v>630</v>
      </c>
      <c r="F254" s="38">
        <v>1500000</v>
      </c>
      <c r="G254" s="38">
        <v>-1300000</v>
      </c>
      <c r="H254" s="36">
        <f t="shared" si="4"/>
        <v>200000</v>
      </c>
    </row>
    <row r="255" spans="1:8" ht="15.75">
      <c r="A255" s="37" t="s">
        <v>36</v>
      </c>
      <c r="B255" s="34">
        <v>440</v>
      </c>
      <c r="C255" s="33" t="s">
        <v>196</v>
      </c>
      <c r="D255" s="34" t="s">
        <v>212</v>
      </c>
      <c r="E255" s="34">
        <v>800</v>
      </c>
      <c r="F255" s="38">
        <f>F256</f>
        <v>0</v>
      </c>
      <c r="G255" s="38">
        <f>G256</f>
        <v>1300000</v>
      </c>
      <c r="H255" s="36">
        <f t="shared" si="4"/>
        <v>1300000</v>
      </c>
    </row>
    <row r="256" spans="1:8" ht="51.75" customHeight="1">
      <c r="A256" s="37" t="s">
        <v>161</v>
      </c>
      <c r="B256" s="34">
        <v>440</v>
      </c>
      <c r="C256" s="33" t="s">
        <v>196</v>
      </c>
      <c r="D256" s="34" t="s">
        <v>212</v>
      </c>
      <c r="E256" s="34">
        <v>810</v>
      </c>
      <c r="F256" s="38">
        <v>0</v>
      </c>
      <c r="G256" s="38">
        <v>1300000</v>
      </c>
      <c r="H256" s="36">
        <f t="shared" si="4"/>
        <v>1300000</v>
      </c>
    </row>
    <row r="257" spans="1:8" ht="31.5">
      <c r="A257" s="37" t="s">
        <v>213</v>
      </c>
      <c r="B257" s="34">
        <v>440</v>
      </c>
      <c r="C257" s="33" t="s">
        <v>196</v>
      </c>
      <c r="D257" s="34" t="s">
        <v>214</v>
      </c>
      <c r="E257" s="34"/>
      <c r="F257" s="38">
        <f>F258</f>
        <v>10100000</v>
      </c>
      <c r="G257" s="38">
        <f>G258</f>
        <v>100000</v>
      </c>
      <c r="H257" s="36">
        <f t="shared" si="4"/>
        <v>10200000</v>
      </c>
    </row>
    <row r="258" spans="1:8" ht="15.75">
      <c r="A258" s="37" t="s">
        <v>36</v>
      </c>
      <c r="B258" s="34">
        <v>440</v>
      </c>
      <c r="C258" s="33" t="s">
        <v>196</v>
      </c>
      <c r="D258" s="34" t="s">
        <v>214</v>
      </c>
      <c r="E258" s="34">
        <v>800</v>
      </c>
      <c r="F258" s="38">
        <f>F259</f>
        <v>10100000</v>
      </c>
      <c r="G258" s="38">
        <f>G259</f>
        <v>100000</v>
      </c>
      <c r="H258" s="36">
        <f t="shared" si="4"/>
        <v>10200000</v>
      </c>
    </row>
    <row r="259" spans="1:8" ht="63">
      <c r="A259" s="37" t="s">
        <v>161</v>
      </c>
      <c r="B259" s="34">
        <v>440</v>
      </c>
      <c r="C259" s="33" t="s">
        <v>196</v>
      </c>
      <c r="D259" s="34" t="s">
        <v>214</v>
      </c>
      <c r="E259" s="34">
        <v>810</v>
      </c>
      <c r="F259" s="38">
        <v>10100000</v>
      </c>
      <c r="G259" s="38">
        <v>100000</v>
      </c>
      <c r="H259" s="36">
        <f t="shared" si="4"/>
        <v>10200000</v>
      </c>
    </row>
    <row r="260" spans="1:8" ht="141.75">
      <c r="A260" s="56" t="s">
        <v>215</v>
      </c>
      <c r="B260" s="34">
        <v>440</v>
      </c>
      <c r="C260" s="33" t="s">
        <v>196</v>
      </c>
      <c r="D260" s="34" t="s">
        <v>216</v>
      </c>
      <c r="E260" s="34"/>
      <c r="F260" s="42">
        <f>F261</f>
        <v>6800000</v>
      </c>
      <c r="G260" s="42">
        <f>G261</f>
        <v>10615120</v>
      </c>
      <c r="H260" s="36">
        <f t="shared" si="4"/>
        <v>17415120</v>
      </c>
    </row>
    <row r="261" spans="1:8" ht="31.5">
      <c r="A261" s="41" t="s">
        <v>74</v>
      </c>
      <c r="B261" s="34">
        <v>440</v>
      </c>
      <c r="C261" s="33" t="s">
        <v>196</v>
      </c>
      <c r="D261" s="34" t="s">
        <v>216</v>
      </c>
      <c r="E261" s="34">
        <v>600</v>
      </c>
      <c r="F261" s="42">
        <f>F262</f>
        <v>6800000</v>
      </c>
      <c r="G261" s="42">
        <f>G262</f>
        <v>10615120</v>
      </c>
      <c r="H261" s="36">
        <f t="shared" si="4"/>
        <v>17415120</v>
      </c>
    </row>
    <row r="262" spans="1:8" ht="47.25">
      <c r="A262" s="41" t="s">
        <v>84</v>
      </c>
      <c r="B262" s="34">
        <v>440</v>
      </c>
      <c r="C262" s="33" t="s">
        <v>196</v>
      </c>
      <c r="D262" s="34" t="s">
        <v>216</v>
      </c>
      <c r="E262" s="34">
        <v>630</v>
      </c>
      <c r="F262" s="42">
        <v>6800000</v>
      </c>
      <c r="G262" s="42">
        <f>6545120+570000+3000000+500000</f>
        <v>10615120</v>
      </c>
      <c r="H262" s="36">
        <f t="shared" si="4"/>
        <v>17415120</v>
      </c>
    </row>
    <row r="263" spans="1:8" ht="47.25">
      <c r="A263" s="37" t="s">
        <v>87</v>
      </c>
      <c r="B263" s="32" t="s">
        <v>11</v>
      </c>
      <c r="C263" s="33" t="s">
        <v>196</v>
      </c>
      <c r="D263" s="34" t="s">
        <v>88</v>
      </c>
      <c r="E263" s="34"/>
      <c r="F263" s="38">
        <f>F264</f>
        <v>929215.56</v>
      </c>
      <c r="G263" s="38">
        <f>G264</f>
        <v>309289.69</v>
      </c>
      <c r="H263" s="36">
        <f t="shared" si="4"/>
        <v>1238505.25</v>
      </c>
    </row>
    <row r="264" spans="1:8" ht="47.25">
      <c r="A264" s="37" t="s">
        <v>101</v>
      </c>
      <c r="B264" s="32" t="s">
        <v>11</v>
      </c>
      <c r="C264" s="33" t="s">
        <v>196</v>
      </c>
      <c r="D264" s="34" t="s">
        <v>102</v>
      </c>
      <c r="E264" s="34"/>
      <c r="F264" s="38">
        <f>SUM(F265,F268,F271)</f>
        <v>929215.56</v>
      </c>
      <c r="G264" s="38">
        <f>SUM(G265,G268,G271)</f>
        <v>309289.69</v>
      </c>
      <c r="H264" s="38">
        <f>SUM(H265,H268,H271)</f>
        <v>1238505.25</v>
      </c>
    </row>
    <row r="265" spans="1:8" s="16" customFormat="1" ht="110.25">
      <c r="A265" s="41" t="s">
        <v>217</v>
      </c>
      <c r="B265" s="32" t="s">
        <v>11</v>
      </c>
      <c r="C265" s="33" t="s">
        <v>196</v>
      </c>
      <c r="D265" s="34" t="s">
        <v>218</v>
      </c>
      <c r="E265" s="34"/>
      <c r="F265" s="38">
        <f>F266</f>
        <v>179215.56</v>
      </c>
      <c r="G265" s="38">
        <f>G266</f>
        <v>-179215.56</v>
      </c>
      <c r="H265" s="36">
        <f aca="true" t="shared" si="8" ref="H265:H270">SUM(F265:G265)</f>
        <v>0</v>
      </c>
    </row>
    <row r="266" spans="1:8" s="16" customFormat="1" ht="31.5">
      <c r="A266" s="41" t="s">
        <v>28</v>
      </c>
      <c r="B266" s="32" t="s">
        <v>11</v>
      </c>
      <c r="C266" s="33" t="s">
        <v>196</v>
      </c>
      <c r="D266" s="34" t="s">
        <v>218</v>
      </c>
      <c r="E266" s="34">
        <v>200</v>
      </c>
      <c r="F266" s="38">
        <f>F267</f>
        <v>179215.56</v>
      </c>
      <c r="G266" s="38">
        <f>G267</f>
        <v>-179215.56</v>
      </c>
      <c r="H266" s="36">
        <f t="shared" si="8"/>
        <v>0</v>
      </c>
    </row>
    <row r="267" spans="1:8" s="16" customFormat="1" ht="31.5">
      <c r="A267" s="41" t="s">
        <v>30</v>
      </c>
      <c r="B267" s="32" t="s">
        <v>11</v>
      </c>
      <c r="C267" s="33" t="s">
        <v>196</v>
      </c>
      <c r="D267" s="34" t="s">
        <v>218</v>
      </c>
      <c r="E267" s="34">
        <v>240</v>
      </c>
      <c r="F267" s="38">
        <f>17921.56+161294</f>
        <v>179215.56</v>
      </c>
      <c r="G267" s="38">
        <f>-161294-17921.56</f>
        <v>-179215.56</v>
      </c>
      <c r="H267" s="36">
        <f t="shared" si="8"/>
        <v>0</v>
      </c>
    </row>
    <row r="268" spans="1:8" s="16" customFormat="1" ht="63">
      <c r="A268" s="41" t="s">
        <v>219</v>
      </c>
      <c r="B268" s="32" t="s">
        <v>11</v>
      </c>
      <c r="C268" s="33" t="s">
        <v>196</v>
      </c>
      <c r="D268" s="34" t="s">
        <v>220</v>
      </c>
      <c r="E268" s="34"/>
      <c r="F268" s="38">
        <f>F269</f>
        <v>750000</v>
      </c>
      <c r="G268" s="38">
        <f>G269</f>
        <v>410335.25</v>
      </c>
      <c r="H268" s="36">
        <f t="shared" si="8"/>
        <v>1160335.25</v>
      </c>
    </row>
    <row r="269" spans="1:8" s="16" customFormat="1" ht="31.5">
      <c r="A269" s="41" t="s">
        <v>28</v>
      </c>
      <c r="B269" s="32" t="s">
        <v>11</v>
      </c>
      <c r="C269" s="33" t="s">
        <v>196</v>
      </c>
      <c r="D269" s="34" t="s">
        <v>220</v>
      </c>
      <c r="E269" s="34">
        <v>200</v>
      </c>
      <c r="F269" s="38">
        <f>F270</f>
        <v>750000</v>
      </c>
      <c r="G269" s="38">
        <f>G270</f>
        <v>410335.25</v>
      </c>
      <c r="H269" s="36">
        <f t="shared" si="8"/>
        <v>1160335.25</v>
      </c>
    </row>
    <row r="270" spans="1:8" s="16" customFormat="1" ht="31.5">
      <c r="A270" s="41" t="s">
        <v>30</v>
      </c>
      <c r="B270" s="32" t="s">
        <v>11</v>
      </c>
      <c r="C270" s="33" t="s">
        <v>196</v>
      </c>
      <c r="D270" s="34" t="s">
        <v>220</v>
      </c>
      <c r="E270" s="34">
        <v>240</v>
      </c>
      <c r="F270" s="38">
        <v>750000</v>
      </c>
      <c r="G270" s="38">
        <f>-0.5+1042.15+653.67+200000+8639.93+100000+100000</f>
        <v>410335.25</v>
      </c>
      <c r="H270" s="36">
        <f t="shared" si="8"/>
        <v>1160335.25</v>
      </c>
    </row>
    <row r="271" spans="1:8" s="16" customFormat="1" ht="39" customHeight="1">
      <c r="A271" s="41" t="s">
        <v>221</v>
      </c>
      <c r="B271" s="32" t="s">
        <v>11</v>
      </c>
      <c r="C271" s="33" t="s">
        <v>196</v>
      </c>
      <c r="D271" s="34" t="s">
        <v>222</v>
      </c>
      <c r="E271" s="34"/>
      <c r="F271" s="38">
        <f>F272</f>
        <v>0</v>
      </c>
      <c r="G271" s="38">
        <f>G272</f>
        <v>78170</v>
      </c>
      <c r="H271" s="38">
        <f>H272</f>
        <v>78170</v>
      </c>
    </row>
    <row r="272" spans="1:8" s="16" customFormat="1" ht="15.75">
      <c r="A272" s="41" t="s">
        <v>223</v>
      </c>
      <c r="B272" s="32" t="s">
        <v>11</v>
      </c>
      <c r="C272" s="33" t="s">
        <v>196</v>
      </c>
      <c r="D272" s="34" t="s">
        <v>222</v>
      </c>
      <c r="E272" s="34">
        <v>300</v>
      </c>
      <c r="F272" s="38">
        <f>F273</f>
        <v>0</v>
      </c>
      <c r="G272" s="38">
        <f>G273</f>
        <v>78170</v>
      </c>
      <c r="H272" s="36">
        <f aca="true" t="shared" si="9" ref="H272:H409">SUM(F272:G272)</f>
        <v>78170</v>
      </c>
    </row>
    <row r="273" spans="1:8" s="16" customFormat="1" ht="15.75">
      <c r="A273" s="41" t="s">
        <v>224</v>
      </c>
      <c r="B273" s="32" t="s">
        <v>11</v>
      </c>
      <c r="C273" s="33" t="s">
        <v>196</v>
      </c>
      <c r="D273" s="34" t="s">
        <v>222</v>
      </c>
      <c r="E273" s="34">
        <v>360</v>
      </c>
      <c r="F273" s="38">
        <v>0</v>
      </c>
      <c r="G273" s="38">
        <v>78170</v>
      </c>
      <c r="H273" s="36">
        <f t="shared" si="9"/>
        <v>78170</v>
      </c>
    </row>
    <row r="274" spans="1:8" s="39" customFormat="1" ht="31.5">
      <c r="A274" s="37" t="s">
        <v>225</v>
      </c>
      <c r="B274" s="34">
        <v>440</v>
      </c>
      <c r="C274" s="33" t="s">
        <v>196</v>
      </c>
      <c r="D274" s="34" t="s">
        <v>226</v>
      </c>
      <c r="E274" s="34"/>
      <c r="F274" s="38">
        <f>SUM(F275,F280,F285,F288,F291)</f>
        <v>1800000</v>
      </c>
      <c r="G274" s="38">
        <f>SUM(G275,G280,G285,G288,G291)</f>
        <v>0</v>
      </c>
      <c r="H274" s="36">
        <f t="shared" si="9"/>
        <v>1800000</v>
      </c>
    </row>
    <row r="275" spans="1:8" s="16" customFormat="1" ht="15.75">
      <c r="A275" s="37" t="s">
        <v>227</v>
      </c>
      <c r="B275" s="34">
        <v>440</v>
      </c>
      <c r="C275" s="33" t="s">
        <v>196</v>
      </c>
      <c r="D275" s="34" t="s">
        <v>228</v>
      </c>
      <c r="E275" s="34"/>
      <c r="F275" s="38">
        <f>F278+F276</f>
        <v>600000</v>
      </c>
      <c r="G275" s="38">
        <f>G278+G276</f>
        <v>400000</v>
      </c>
      <c r="H275" s="36">
        <f t="shared" si="9"/>
        <v>1000000</v>
      </c>
    </row>
    <row r="276" spans="1:8" s="16" customFormat="1" ht="31.5">
      <c r="A276" s="41" t="s">
        <v>74</v>
      </c>
      <c r="B276" s="34">
        <v>440</v>
      </c>
      <c r="C276" s="33" t="s">
        <v>196</v>
      </c>
      <c r="D276" s="34" t="s">
        <v>228</v>
      </c>
      <c r="E276" s="34">
        <v>600</v>
      </c>
      <c r="F276" s="38">
        <f>F277</f>
        <v>0</v>
      </c>
      <c r="G276" s="38">
        <f>G277</f>
        <v>1000000</v>
      </c>
      <c r="H276" s="36">
        <f t="shared" si="9"/>
        <v>1000000</v>
      </c>
    </row>
    <row r="277" spans="1:8" s="16" customFormat="1" ht="47.25">
      <c r="A277" s="37" t="s">
        <v>84</v>
      </c>
      <c r="B277" s="34">
        <v>440</v>
      </c>
      <c r="C277" s="33" t="s">
        <v>196</v>
      </c>
      <c r="D277" s="34" t="s">
        <v>228</v>
      </c>
      <c r="E277" s="34">
        <v>630</v>
      </c>
      <c r="F277" s="38"/>
      <c r="G277" s="38">
        <v>1000000</v>
      </c>
      <c r="H277" s="36">
        <f t="shared" si="9"/>
        <v>1000000</v>
      </c>
    </row>
    <row r="278" spans="1:8" s="16" customFormat="1" ht="15.75">
      <c r="A278" s="37" t="s">
        <v>36</v>
      </c>
      <c r="B278" s="34">
        <v>440</v>
      </c>
      <c r="C278" s="33" t="s">
        <v>196</v>
      </c>
      <c r="D278" s="34" t="s">
        <v>228</v>
      </c>
      <c r="E278" s="34">
        <v>800</v>
      </c>
      <c r="F278" s="38">
        <f>F279</f>
        <v>600000</v>
      </c>
      <c r="G278" s="38">
        <f>G279</f>
        <v>-600000</v>
      </c>
      <c r="H278" s="36">
        <f t="shared" si="9"/>
        <v>0</v>
      </c>
    </row>
    <row r="279" spans="1:8" s="16" customFormat="1" ht="63">
      <c r="A279" s="37" t="s">
        <v>161</v>
      </c>
      <c r="B279" s="34">
        <v>440</v>
      </c>
      <c r="C279" s="33" t="s">
        <v>196</v>
      </c>
      <c r="D279" s="34" t="s">
        <v>228</v>
      </c>
      <c r="E279" s="34">
        <v>810</v>
      </c>
      <c r="F279" s="38">
        <v>600000</v>
      </c>
      <c r="G279" s="38">
        <v>-600000</v>
      </c>
      <c r="H279" s="36">
        <f t="shared" si="9"/>
        <v>0</v>
      </c>
    </row>
    <row r="280" spans="1:8" s="16" customFormat="1" ht="47.25">
      <c r="A280" s="41" t="s">
        <v>229</v>
      </c>
      <c r="B280" s="34">
        <v>440</v>
      </c>
      <c r="C280" s="33" t="s">
        <v>196</v>
      </c>
      <c r="D280" s="34" t="s">
        <v>230</v>
      </c>
      <c r="E280" s="34"/>
      <c r="F280" s="38">
        <f>F283+F281</f>
        <v>200000</v>
      </c>
      <c r="G280" s="38">
        <f>G283+G281</f>
        <v>600000</v>
      </c>
      <c r="H280" s="36">
        <f t="shared" si="9"/>
        <v>800000</v>
      </c>
    </row>
    <row r="281" spans="1:8" s="16" customFormat="1" ht="31.5">
      <c r="A281" s="41" t="s">
        <v>74</v>
      </c>
      <c r="B281" s="34">
        <v>440</v>
      </c>
      <c r="C281" s="33" t="s">
        <v>196</v>
      </c>
      <c r="D281" s="34" t="s">
        <v>230</v>
      </c>
      <c r="E281" s="34">
        <v>600</v>
      </c>
      <c r="F281" s="38">
        <f>F282</f>
        <v>0</v>
      </c>
      <c r="G281" s="38">
        <f>G282</f>
        <v>800000</v>
      </c>
      <c r="H281" s="36">
        <f t="shared" si="9"/>
        <v>800000</v>
      </c>
    </row>
    <row r="282" spans="1:8" s="16" customFormat="1" ht="47.25">
      <c r="A282" s="37" t="s">
        <v>84</v>
      </c>
      <c r="B282" s="34">
        <v>440</v>
      </c>
      <c r="C282" s="33" t="s">
        <v>196</v>
      </c>
      <c r="D282" s="34" t="s">
        <v>230</v>
      </c>
      <c r="E282" s="34">
        <v>630</v>
      </c>
      <c r="F282" s="38"/>
      <c r="G282" s="38">
        <v>800000</v>
      </c>
      <c r="H282" s="36">
        <f t="shared" si="9"/>
        <v>800000</v>
      </c>
    </row>
    <row r="283" spans="1:8" s="16" customFormat="1" ht="15.75">
      <c r="A283" s="37" t="s">
        <v>36</v>
      </c>
      <c r="B283" s="34">
        <v>440</v>
      </c>
      <c r="C283" s="33" t="s">
        <v>196</v>
      </c>
      <c r="D283" s="34" t="s">
        <v>230</v>
      </c>
      <c r="E283" s="34">
        <v>800</v>
      </c>
      <c r="F283" s="38">
        <f>F284</f>
        <v>200000</v>
      </c>
      <c r="G283" s="38">
        <f>G284</f>
        <v>-200000</v>
      </c>
      <c r="H283" s="36">
        <f t="shared" si="9"/>
        <v>0</v>
      </c>
    </row>
    <row r="284" spans="1:8" s="16" customFormat="1" ht="63">
      <c r="A284" s="37" t="s">
        <v>161</v>
      </c>
      <c r="B284" s="34">
        <v>440</v>
      </c>
      <c r="C284" s="33" t="s">
        <v>196</v>
      </c>
      <c r="D284" s="34" t="s">
        <v>230</v>
      </c>
      <c r="E284" s="34">
        <v>810</v>
      </c>
      <c r="F284" s="38">
        <v>200000</v>
      </c>
      <c r="G284" s="38">
        <v>-200000</v>
      </c>
      <c r="H284" s="36">
        <f t="shared" si="9"/>
        <v>0</v>
      </c>
    </row>
    <row r="285" spans="1:8" s="16" customFormat="1" ht="47.25">
      <c r="A285" s="41" t="s">
        <v>231</v>
      </c>
      <c r="B285" s="34">
        <v>440</v>
      </c>
      <c r="C285" s="33" t="s">
        <v>196</v>
      </c>
      <c r="D285" s="34" t="s">
        <v>232</v>
      </c>
      <c r="E285" s="34"/>
      <c r="F285" s="38">
        <f>F286</f>
        <v>100000</v>
      </c>
      <c r="G285" s="38">
        <f>G286</f>
        <v>-100000</v>
      </c>
      <c r="H285" s="36">
        <f t="shared" si="9"/>
        <v>0</v>
      </c>
    </row>
    <row r="286" spans="1:8" s="16" customFormat="1" ht="15.75">
      <c r="A286" s="37" t="s">
        <v>36</v>
      </c>
      <c r="B286" s="34">
        <v>440</v>
      </c>
      <c r="C286" s="33" t="s">
        <v>196</v>
      </c>
      <c r="D286" s="34" t="s">
        <v>232</v>
      </c>
      <c r="E286" s="34">
        <v>800</v>
      </c>
      <c r="F286" s="38">
        <f>F287</f>
        <v>100000</v>
      </c>
      <c r="G286" s="38">
        <f>G287</f>
        <v>-100000</v>
      </c>
      <c r="H286" s="36">
        <f t="shared" si="9"/>
        <v>0</v>
      </c>
    </row>
    <row r="287" spans="1:8" s="16" customFormat="1" ht="63">
      <c r="A287" s="37" t="s">
        <v>161</v>
      </c>
      <c r="B287" s="34">
        <v>440</v>
      </c>
      <c r="C287" s="33" t="s">
        <v>196</v>
      </c>
      <c r="D287" s="34" t="s">
        <v>232</v>
      </c>
      <c r="E287" s="34">
        <v>810</v>
      </c>
      <c r="F287" s="38">
        <v>100000</v>
      </c>
      <c r="G287" s="38">
        <v>-100000</v>
      </c>
      <c r="H287" s="36">
        <f t="shared" si="9"/>
        <v>0</v>
      </c>
    </row>
    <row r="288" spans="1:8" s="16" customFormat="1" ht="47.25">
      <c r="A288" s="41" t="s">
        <v>233</v>
      </c>
      <c r="B288" s="34">
        <v>440</v>
      </c>
      <c r="C288" s="33" t="s">
        <v>196</v>
      </c>
      <c r="D288" s="34" t="s">
        <v>234</v>
      </c>
      <c r="E288" s="34"/>
      <c r="F288" s="38">
        <f>F289</f>
        <v>100000</v>
      </c>
      <c r="G288" s="38">
        <f>G289</f>
        <v>-100000</v>
      </c>
      <c r="H288" s="36">
        <f t="shared" si="9"/>
        <v>0</v>
      </c>
    </row>
    <row r="289" spans="1:8" s="16" customFormat="1" ht="15.75">
      <c r="A289" s="37" t="s">
        <v>36</v>
      </c>
      <c r="B289" s="34">
        <v>440</v>
      </c>
      <c r="C289" s="33" t="s">
        <v>196</v>
      </c>
      <c r="D289" s="34" t="s">
        <v>234</v>
      </c>
      <c r="E289" s="34">
        <v>800</v>
      </c>
      <c r="F289" s="38">
        <f>F290</f>
        <v>100000</v>
      </c>
      <c r="G289" s="38">
        <f>G290</f>
        <v>-100000</v>
      </c>
      <c r="H289" s="36">
        <f t="shared" si="9"/>
        <v>0</v>
      </c>
    </row>
    <row r="290" spans="1:8" s="16" customFormat="1" ht="63">
      <c r="A290" s="37" t="s">
        <v>161</v>
      </c>
      <c r="B290" s="34">
        <v>440</v>
      </c>
      <c r="C290" s="33" t="s">
        <v>196</v>
      </c>
      <c r="D290" s="34" t="s">
        <v>234</v>
      </c>
      <c r="E290" s="34">
        <v>810</v>
      </c>
      <c r="F290" s="38">
        <v>100000</v>
      </c>
      <c r="G290" s="38">
        <v>-100000</v>
      </c>
      <c r="H290" s="36">
        <f t="shared" si="9"/>
        <v>0</v>
      </c>
    </row>
    <row r="291" spans="1:8" s="16" customFormat="1" ht="47.25">
      <c r="A291" s="41" t="s">
        <v>235</v>
      </c>
      <c r="B291" s="34">
        <v>440</v>
      </c>
      <c r="C291" s="33" t="s">
        <v>196</v>
      </c>
      <c r="D291" s="34" t="s">
        <v>236</v>
      </c>
      <c r="E291" s="34"/>
      <c r="F291" s="38">
        <f>F292</f>
        <v>800000</v>
      </c>
      <c r="G291" s="38">
        <f>G292</f>
        <v>-800000</v>
      </c>
      <c r="H291" s="36">
        <f t="shared" si="9"/>
        <v>0</v>
      </c>
    </row>
    <row r="292" spans="1:8" s="53" customFormat="1" ht="15.75">
      <c r="A292" s="37" t="s">
        <v>36</v>
      </c>
      <c r="B292" s="34">
        <v>440</v>
      </c>
      <c r="C292" s="33" t="s">
        <v>196</v>
      </c>
      <c r="D292" s="34" t="s">
        <v>236</v>
      </c>
      <c r="E292" s="34">
        <v>800</v>
      </c>
      <c r="F292" s="38">
        <f>F293</f>
        <v>800000</v>
      </c>
      <c r="G292" s="38">
        <f>G293</f>
        <v>-800000</v>
      </c>
      <c r="H292" s="36">
        <f t="shared" si="9"/>
        <v>0</v>
      </c>
    </row>
    <row r="293" spans="1:8" s="53" customFormat="1" ht="63">
      <c r="A293" s="37" t="s">
        <v>161</v>
      </c>
      <c r="B293" s="34">
        <v>440</v>
      </c>
      <c r="C293" s="33" t="s">
        <v>196</v>
      </c>
      <c r="D293" s="34" t="s">
        <v>236</v>
      </c>
      <c r="E293" s="34">
        <v>810</v>
      </c>
      <c r="F293" s="38">
        <v>800000</v>
      </c>
      <c r="G293" s="38">
        <v>-800000</v>
      </c>
      <c r="H293" s="36">
        <f t="shared" si="9"/>
        <v>0</v>
      </c>
    </row>
    <row r="294" spans="1:8" s="16" customFormat="1" ht="15.75">
      <c r="A294" s="31" t="s">
        <v>16</v>
      </c>
      <c r="B294" s="32" t="s">
        <v>11</v>
      </c>
      <c r="C294" s="33" t="s">
        <v>196</v>
      </c>
      <c r="D294" s="34" t="s">
        <v>17</v>
      </c>
      <c r="E294" s="34"/>
      <c r="F294" s="38">
        <f aca="true" t="shared" si="10" ref="F294:G297">F295</f>
        <v>127980</v>
      </c>
      <c r="G294" s="38">
        <f t="shared" si="10"/>
        <v>0</v>
      </c>
      <c r="H294" s="36">
        <f t="shared" si="9"/>
        <v>127980</v>
      </c>
    </row>
    <row r="295" spans="1:8" s="16" customFormat="1" ht="47.25">
      <c r="A295" s="37" t="s">
        <v>44</v>
      </c>
      <c r="B295" s="32" t="s">
        <v>11</v>
      </c>
      <c r="C295" s="33" t="s">
        <v>196</v>
      </c>
      <c r="D295" s="34" t="s">
        <v>45</v>
      </c>
      <c r="E295" s="34"/>
      <c r="F295" s="38">
        <f t="shared" si="10"/>
        <v>127980</v>
      </c>
      <c r="G295" s="38">
        <f t="shared" si="10"/>
        <v>0</v>
      </c>
      <c r="H295" s="36">
        <f t="shared" si="9"/>
        <v>127980</v>
      </c>
    </row>
    <row r="296" spans="1:8" s="16" customFormat="1" ht="63">
      <c r="A296" s="37" t="s">
        <v>237</v>
      </c>
      <c r="B296" s="32" t="s">
        <v>11</v>
      </c>
      <c r="C296" s="33" t="s">
        <v>196</v>
      </c>
      <c r="D296" s="34" t="s">
        <v>238</v>
      </c>
      <c r="E296" s="34"/>
      <c r="F296" s="38">
        <f t="shared" si="10"/>
        <v>127980</v>
      </c>
      <c r="G296" s="38">
        <f t="shared" si="10"/>
        <v>0</v>
      </c>
      <c r="H296" s="36">
        <f t="shared" si="9"/>
        <v>127980</v>
      </c>
    </row>
    <row r="297" spans="1:8" s="16" customFormat="1" ht="31.5">
      <c r="A297" s="41" t="s">
        <v>28</v>
      </c>
      <c r="B297" s="32" t="s">
        <v>11</v>
      </c>
      <c r="C297" s="33" t="s">
        <v>196</v>
      </c>
      <c r="D297" s="34" t="s">
        <v>238</v>
      </c>
      <c r="E297" s="34">
        <v>200</v>
      </c>
      <c r="F297" s="38">
        <f t="shared" si="10"/>
        <v>127980</v>
      </c>
      <c r="G297" s="38">
        <f t="shared" si="10"/>
        <v>0</v>
      </c>
      <c r="H297" s="36">
        <f t="shared" si="9"/>
        <v>127980</v>
      </c>
    </row>
    <row r="298" spans="1:8" s="16" customFormat="1" ht="31.5">
      <c r="A298" s="41" t="s">
        <v>30</v>
      </c>
      <c r="B298" s="32" t="s">
        <v>11</v>
      </c>
      <c r="C298" s="33" t="s">
        <v>196</v>
      </c>
      <c r="D298" s="34" t="s">
        <v>238</v>
      </c>
      <c r="E298" s="34">
        <v>240</v>
      </c>
      <c r="F298" s="38">
        <v>127980</v>
      </c>
      <c r="G298" s="38">
        <v>0</v>
      </c>
      <c r="H298" s="36">
        <f t="shared" si="9"/>
        <v>127980</v>
      </c>
    </row>
    <row r="299" spans="1:8" s="39" customFormat="1" ht="15.75">
      <c r="A299" s="23" t="s">
        <v>239</v>
      </c>
      <c r="B299" s="54" t="s">
        <v>11</v>
      </c>
      <c r="C299" s="24" t="s">
        <v>240</v>
      </c>
      <c r="D299" s="50"/>
      <c r="E299" s="50"/>
      <c r="F299" s="55">
        <f>SUM(F334,F300,F370,F426)</f>
        <v>464152933.75</v>
      </c>
      <c r="G299" s="55">
        <f>SUM(G334,G300,G370,G426)</f>
        <v>-5579038.359999999</v>
      </c>
      <c r="H299" s="21">
        <f t="shared" si="9"/>
        <v>458573895.39</v>
      </c>
    </row>
    <row r="300" spans="1:8" s="39" customFormat="1" ht="15.75">
      <c r="A300" s="26" t="s">
        <v>241</v>
      </c>
      <c r="B300" s="27" t="s">
        <v>11</v>
      </c>
      <c r="C300" s="28" t="s">
        <v>242</v>
      </c>
      <c r="D300" s="50"/>
      <c r="E300" s="50"/>
      <c r="F300" s="45">
        <f>SUM(F306,F319,F301,F326)</f>
        <v>69434920</v>
      </c>
      <c r="G300" s="45">
        <f>SUM(G306,G319,G301,G326)</f>
        <v>2613140.79</v>
      </c>
      <c r="H300" s="30">
        <f t="shared" si="9"/>
        <v>72048060.79</v>
      </c>
    </row>
    <row r="301" spans="1:8" s="39" customFormat="1" ht="31.5">
      <c r="A301" s="37" t="s">
        <v>243</v>
      </c>
      <c r="B301" s="32" t="s">
        <v>11</v>
      </c>
      <c r="C301" s="33" t="s">
        <v>242</v>
      </c>
      <c r="D301" s="34" t="s">
        <v>244</v>
      </c>
      <c r="E301" s="57"/>
      <c r="F301" s="38">
        <f aca="true" t="shared" si="11" ref="F301:G304">F302</f>
        <v>2000000</v>
      </c>
      <c r="G301" s="38">
        <f t="shared" si="11"/>
        <v>658500</v>
      </c>
      <c r="H301" s="36">
        <f t="shared" si="9"/>
        <v>2658500</v>
      </c>
    </row>
    <row r="302" spans="1:8" s="39" customFormat="1" ht="15.75">
      <c r="A302" s="31" t="s">
        <v>245</v>
      </c>
      <c r="B302" s="32" t="s">
        <v>11</v>
      </c>
      <c r="C302" s="33" t="s">
        <v>242</v>
      </c>
      <c r="D302" s="34" t="s">
        <v>246</v>
      </c>
      <c r="E302" s="34"/>
      <c r="F302" s="38">
        <f t="shared" si="11"/>
        <v>2000000</v>
      </c>
      <c r="G302" s="38">
        <f t="shared" si="11"/>
        <v>658500</v>
      </c>
      <c r="H302" s="36">
        <f t="shared" si="9"/>
        <v>2658500</v>
      </c>
    </row>
    <row r="303" spans="1:8" s="39" customFormat="1" ht="78.75">
      <c r="A303" s="37" t="s">
        <v>247</v>
      </c>
      <c r="B303" s="32" t="s">
        <v>11</v>
      </c>
      <c r="C303" s="33" t="s">
        <v>242</v>
      </c>
      <c r="D303" s="34" t="s">
        <v>248</v>
      </c>
      <c r="E303" s="34"/>
      <c r="F303" s="38">
        <f t="shared" si="11"/>
        <v>2000000</v>
      </c>
      <c r="G303" s="38">
        <f t="shared" si="11"/>
        <v>658500</v>
      </c>
      <c r="H303" s="36">
        <f t="shared" si="9"/>
        <v>2658500</v>
      </c>
    </row>
    <row r="304" spans="1:8" s="39" customFormat="1" ht="31.5">
      <c r="A304" s="37" t="s">
        <v>118</v>
      </c>
      <c r="B304" s="32" t="s">
        <v>11</v>
      </c>
      <c r="C304" s="33" t="s">
        <v>242</v>
      </c>
      <c r="D304" s="34" t="s">
        <v>248</v>
      </c>
      <c r="E304" s="34">
        <v>400</v>
      </c>
      <c r="F304" s="38">
        <f t="shared" si="11"/>
        <v>2000000</v>
      </c>
      <c r="G304" s="38">
        <f t="shared" si="11"/>
        <v>658500</v>
      </c>
      <c r="H304" s="36">
        <f t="shared" si="9"/>
        <v>2658500</v>
      </c>
    </row>
    <row r="305" spans="1:8" s="39" customFormat="1" ht="15.75">
      <c r="A305" s="37" t="s">
        <v>119</v>
      </c>
      <c r="B305" s="32" t="s">
        <v>11</v>
      </c>
      <c r="C305" s="33" t="s">
        <v>242</v>
      </c>
      <c r="D305" s="34" t="s">
        <v>248</v>
      </c>
      <c r="E305" s="34">
        <v>410</v>
      </c>
      <c r="F305" s="38">
        <v>2000000</v>
      </c>
      <c r="G305" s="38">
        <f>720000-500000+438500</f>
        <v>658500</v>
      </c>
      <c r="H305" s="36">
        <f t="shared" si="9"/>
        <v>2658500</v>
      </c>
    </row>
    <row r="306" spans="1:8" s="39" customFormat="1" ht="47.25">
      <c r="A306" s="37" t="s">
        <v>249</v>
      </c>
      <c r="B306" s="32" t="s">
        <v>11</v>
      </c>
      <c r="C306" s="33" t="s">
        <v>242</v>
      </c>
      <c r="D306" s="34" t="s">
        <v>60</v>
      </c>
      <c r="E306" s="34"/>
      <c r="F306" s="38">
        <f>SUM(F307,F310,F313,F316)</f>
        <v>65500000</v>
      </c>
      <c r="G306" s="38">
        <f>SUM(G307,G310,G313,G316)</f>
        <v>0</v>
      </c>
      <c r="H306" s="36">
        <f t="shared" si="9"/>
        <v>65500000</v>
      </c>
    </row>
    <row r="307" spans="1:8" s="39" customFormat="1" ht="15.75">
      <c r="A307" s="37" t="s">
        <v>250</v>
      </c>
      <c r="B307" s="32" t="s">
        <v>11</v>
      </c>
      <c r="C307" s="33" t="s">
        <v>242</v>
      </c>
      <c r="D307" s="34" t="s">
        <v>251</v>
      </c>
      <c r="E307" s="34"/>
      <c r="F307" s="38">
        <f>F308</f>
        <v>300000</v>
      </c>
      <c r="G307" s="38">
        <f>G308</f>
        <v>0</v>
      </c>
      <c r="H307" s="36">
        <f t="shared" si="9"/>
        <v>300000</v>
      </c>
    </row>
    <row r="308" spans="1:8" s="16" customFormat="1" ht="15.75">
      <c r="A308" s="41" t="s">
        <v>36</v>
      </c>
      <c r="B308" s="32" t="s">
        <v>11</v>
      </c>
      <c r="C308" s="33" t="s">
        <v>242</v>
      </c>
      <c r="D308" s="34" t="s">
        <v>251</v>
      </c>
      <c r="E308" s="34">
        <v>800</v>
      </c>
      <c r="F308" s="38">
        <f>F309</f>
        <v>300000</v>
      </c>
      <c r="G308" s="38">
        <f>G309</f>
        <v>0</v>
      </c>
      <c r="H308" s="36">
        <f t="shared" si="9"/>
        <v>300000</v>
      </c>
    </row>
    <row r="309" spans="1:8" s="39" customFormat="1" ht="63">
      <c r="A309" s="37" t="s">
        <v>161</v>
      </c>
      <c r="B309" s="32" t="s">
        <v>11</v>
      </c>
      <c r="C309" s="33" t="s">
        <v>242</v>
      </c>
      <c r="D309" s="34" t="s">
        <v>251</v>
      </c>
      <c r="E309" s="34">
        <v>810</v>
      </c>
      <c r="F309" s="38">
        <v>300000</v>
      </c>
      <c r="G309" s="38">
        <v>0</v>
      </c>
      <c r="H309" s="36">
        <f t="shared" si="9"/>
        <v>300000</v>
      </c>
    </row>
    <row r="310" spans="1:8" s="16" customFormat="1" ht="31.5">
      <c r="A310" s="37" t="s">
        <v>252</v>
      </c>
      <c r="B310" s="32" t="s">
        <v>11</v>
      </c>
      <c r="C310" s="33" t="s">
        <v>242</v>
      </c>
      <c r="D310" s="34" t="s">
        <v>253</v>
      </c>
      <c r="E310" s="34"/>
      <c r="F310" s="38">
        <f>F311</f>
        <v>61000000</v>
      </c>
      <c r="G310" s="38">
        <f>G311</f>
        <v>0</v>
      </c>
      <c r="H310" s="36">
        <f t="shared" si="9"/>
        <v>61000000</v>
      </c>
    </row>
    <row r="311" spans="1:8" s="39" customFormat="1" ht="15.75">
      <c r="A311" s="37" t="s">
        <v>36</v>
      </c>
      <c r="B311" s="32" t="s">
        <v>11</v>
      </c>
      <c r="C311" s="33" t="s">
        <v>242</v>
      </c>
      <c r="D311" s="34" t="s">
        <v>253</v>
      </c>
      <c r="E311" s="34">
        <v>800</v>
      </c>
      <c r="F311" s="38">
        <f>F312</f>
        <v>61000000</v>
      </c>
      <c r="G311" s="38">
        <f>G312</f>
        <v>0</v>
      </c>
      <c r="H311" s="36">
        <f t="shared" si="9"/>
        <v>61000000</v>
      </c>
    </row>
    <row r="312" spans="1:8" s="39" customFormat="1" ht="63">
      <c r="A312" s="37" t="s">
        <v>161</v>
      </c>
      <c r="B312" s="32" t="s">
        <v>11</v>
      </c>
      <c r="C312" s="33" t="s">
        <v>242</v>
      </c>
      <c r="D312" s="34" t="s">
        <v>253</v>
      </c>
      <c r="E312" s="34">
        <v>810</v>
      </c>
      <c r="F312" s="38">
        <v>61000000</v>
      </c>
      <c r="G312" s="38">
        <v>0</v>
      </c>
      <c r="H312" s="36">
        <f t="shared" si="9"/>
        <v>61000000</v>
      </c>
    </row>
    <row r="313" spans="1:8" s="39" customFormat="1" ht="31.5">
      <c r="A313" s="37" t="s">
        <v>254</v>
      </c>
      <c r="B313" s="32" t="s">
        <v>11</v>
      </c>
      <c r="C313" s="33" t="s">
        <v>242</v>
      </c>
      <c r="D313" s="34" t="s">
        <v>255</v>
      </c>
      <c r="E313" s="34"/>
      <c r="F313" s="38">
        <f>F314</f>
        <v>4000000</v>
      </c>
      <c r="G313" s="38">
        <f>G314</f>
        <v>0</v>
      </c>
      <c r="H313" s="36">
        <f t="shared" si="9"/>
        <v>4000000</v>
      </c>
    </row>
    <row r="314" spans="1:8" s="39" customFormat="1" ht="15.75">
      <c r="A314" s="37" t="s">
        <v>36</v>
      </c>
      <c r="B314" s="32" t="s">
        <v>11</v>
      </c>
      <c r="C314" s="33" t="s">
        <v>242</v>
      </c>
      <c r="D314" s="34" t="s">
        <v>255</v>
      </c>
      <c r="E314" s="34">
        <v>800</v>
      </c>
      <c r="F314" s="38">
        <f>F315</f>
        <v>4000000</v>
      </c>
      <c r="G314" s="38">
        <f>G315</f>
        <v>0</v>
      </c>
      <c r="H314" s="36">
        <f t="shared" si="9"/>
        <v>4000000</v>
      </c>
    </row>
    <row r="315" spans="1:8" ht="63">
      <c r="A315" s="37" t="s">
        <v>161</v>
      </c>
      <c r="B315" s="32" t="s">
        <v>11</v>
      </c>
      <c r="C315" s="33" t="s">
        <v>242</v>
      </c>
      <c r="D315" s="34" t="s">
        <v>255</v>
      </c>
      <c r="E315" s="34">
        <v>810</v>
      </c>
      <c r="F315" s="38">
        <v>4000000</v>
      </c>
      <c r="G315" s="38">
        <v>0</v>
      </c>
      <c r="H315" s="36">
        <f t="shared" si="9"/>
        <v>4000000</v>
      </c>
    </row>
    <row r="316" spans="1:8" ht="47.25">
      <c r="A316" s="37" t="s">
        <v>256</v>
      </c>
      <c r="B316" s="32" t="s">
        <v>11</v>
      </c>
      <c r="C316" s="33" t="s">
        <v>242</v>
      </c>
      <c r="D316" s="34" t="s">
        <v>257</v>
      </c>
      <c r="E316" s="34"/>
      <c r="F316" s="38">
        <f>F317</f>
        <v>200000</v>
      </c>
      <c r="G316" s="38">
        <f>G317</f>
        <v>0</v>
      </c>
      <c r="H316" s="36">
        <f t="shared" si="9"/>
        <v>200000</v>
      </c>
    </row>
    <row r="317" spans="1:8" ht="15.75">
      <c r="A317" s="37" t="s">
        <v>36</v>
      </c>
      <c r="B317" s="32" t="s">
        <v>11</v>
      </c>
      <c r="C317" s="33" t="s">
        <v>242</v>
      </c>
      <c r="D317" s="34" t="s">
        <v>257</v>
      </c>
      <c r="E317" s="34">
        <v>800</v>
      </c>
      <c r="F317" s="38">
        <f>F318</f>
        <v>200000</v>
      </c>
      <c r="G317" s="38">
        <f>G318</f>
        <v>0</v>
      </c>
      <c r="H317" s="36">
        <f t="shared" si="9"/>
        <v>200000</v>
      </c>
    </row>
    <row r="318" spans="1:8" ht="63">
      <c r="A318" s="37" t="s">
        <v>161</v>
      </c>
      <c r="B318" s="32" t="s">
        <v>11</v>
      </c>
      <c r="C318" s="33" t="s">
        <v>242</v>
      </c>
      <c r="D318" s="34" t="s">
        <v>257</v>
      </c>
      <c r="E318" s="34">
        <v>810</v>
      </c>
      <c r="F318" s="38">
        <v>200000</v>
      </c>
      <c r="G318" s="38">
        <v>0</v>
      </c>
      <c r="H318" s="36">
        <f t="shared" si="9"/>
        <v>200000</v>
      </c>
    </row>
    <row r="319" spans="1:8" ht="47.25">
      <c r="A319" s="37" t="s">
        <v>258</v>
      </c>
      <c r="B319" s="32" t="s">
        <v>11</v>
      </c>
      <c r="C319" s="33" t="s">
        <v>242</v>
      </c>
      <c r="D319" s="34" t="s">
        <v>259</v>
      </c>
      <c r="E319" s="34"/>
      <c r="F319" s="38">
        <f>F320+F323</f>
        <v>950000</v>
      </c>
      <c r="G319" s="38">
        <f>G320+G323</f>
        <v>0</v>
      </c>
      <c r="H319" s="36">
        <f t="shared" si="9"/>
        <v>950000</v>
      </c>
    </row>
    <row r="320" spans="1:8" ht="47.25">
      <c r="A320" s="37" t="s">
        <v>260</v>
      </c>
      <c r="B320" s="32" t="s">
        <v>11</v>
      </c>
      <c r="C320" s="33" t="s">
        <v>242</v>
      </c>
      <c r="D320" s="34" t="s">
        <v>261</v>
      </c>
      <c r="E320" s="34"/>
      <c r="F320" s="38">
        <f>F321</f>
        <v>150000</v>
      </c>
      <c r="G320" s="38">
        <f>G321</f>
        <v>0</v>
      </c>
      <c r="H320" s="36">
        <f t="shared" si="9"/>
        <v>150000</v>
      </c>
    </row>
    <row r="321" spans="1:8" ht="15.75">
      <c r="A321" s="41" t="s">
        <v>36</v>
      </c>
      <c r="B321" s="32" t="s">
        <v>11</v>
      </c>
      <c r="C321" s="33" t="s">
        <v>242</v>
      </c>
      <c r="D321" s="34" t="s">
        <v>261</v>
      </c>
      <c r="E321" s="34">
        <v>800</v>
      </c>
      <c r="F321" s="38">
        <f>F322</f>
        <v>150000</v>
      </c>
      <c r="G321" s="38">
        <f>G322</f>
        <v>0</v>
      </c>
      <c r="H321" s="36">
        <f t="shared" si="9"/>
        <v>150000</v>
      </c>
    </row>
    <row r="322" spans="1:8" ht="63">
      <c r="A322" s="37" t="s">
        <v>161</v>
      </c>
      <c r="B322" s="32" t="s">
        <v>11</v>
      </c>
      <c r="C322" s="33" t="s">
        <v>242</v>
      </c>
      <c r="D322" s="34" t="s">
        <v>261</v>
      </c>
      <c r="E322" s="34">
        <v>810</v>
      </c>
      <c r="F322" s="42">
        <v>150000</v>
      </c>
      <c r="G322" s="42">
        <v>0</v>
      </c>
      <c r="H322" s="36">
        <f t="shared" si="9"/>
        <v>150000</v>
      </c>
    </row>
    <row r="323" spans="1:8" ht="15.75">
      <c r="A323" s="37" t="s">
        <v>262</v>
      </c>
      <c r="B323" s="32" t="s">
        <v>11</v>
      </c>
      <c r="C323" s="33" t="s">
        <v>242</v>
      </c>
      <c r="D323" s="34" t="s">
        <v>263</v>
      </c>
      <c r="E323" s="34"/>
      <c r="F323" s="42">
        <f>F324</f>
        <v>800000</v>
      </c>
      <c r="G323" s="42">
        <f>G324</f>
        <v>0</v>
      </c>
      <c r="H323" s="36">
        <f t="shared" si="9"/>
        <v>800000</v>
      </c>
    </row>
    <row r="324" spans="1:8" ht="15.75">
      <c r="A324" s="41" t="s">
        <v>36</v>
      </c>
      <c r="B324" s="32" t="s">
        <v>11</v>
      </c>
      <c r="C324" s="33" t="s">
        <v>242</v>
      </c>
      <c r="D324" s="34" t="s">
        <v>263</v>
      </c>
      <c r="E324" s="34">
        <v>800</v>
      </c>
      <c r="F324" s="42">
        <f>F325</f>
        <v>800000</v>
      </c>
      <c r="G324" s="42">
        <f>G325</f>
        <v>0</v>
      </c>
      <c r="H324" s="36">
        <f t="shared" si="9"/>
        <v>800000</v>
      </c>
    </row>
    <row r="325" spans="1:8" ht="63">
      <c r="A325" s="37" t="s">
        <v>161</v>
      </c>
      <c r="B325" s="32" t="s">
        <v>11</v>
      </c>
      <c r="C325" s="33" t="s">
        <v>242</v>
      </c>
      <c r="D325" s="34" t="s">
        <v>263</v>
      </c>
      <c r="E325" s="34">
        <v>810</v>
      </c>
      <c r="F325" s="42">
        <v>800000</v>
      </c>
      <c r="G325" s="42">
        <v>0</v>
      </c>
      <c r="H325" s="36">
        <f t="shared" si="9"/>
        <v>800000</v>
      </c>
    </row>
    <row r="326" spans="1:8" ht="15.75">
      <c r="A326" s="31" t="s">
        <v>16</v>
      </c>
      <c r="B326" s="33" t="s">
        <v>11</v>
      </c>
      <c r="C326" s="33" t="s">
        <v>242</v>
      </c>
      <c r="D326" s="34" t="s">
        <v>17</v>
      </c>
      <c r="E326" s="50"/>
      <c r="F326" s="38">
        <f>F327</f>
        <v>984920</v>
      </c>
      <c r="G326" s="38">
        <f>G327</f>
        <v>1954640.79</v>
      </c>
      <c r="H326" s="36">
        <f t="shared" si="9"/>
        <v>2939560.79</v>
      </c>
    </row>
    <row r="327" spans="1:8" ht="47.25">
      <c r="A327" s="37" t="s">
        <v>51</v>
      </c>
      <c r="B327" s="33" t="s">
        <v>11</v>
      </c>
      <c r="C327" s="33" t="s">
        <v>242</v>
      </c>
      <c r="D327" s="34" t="s">
        <v>52</v>
      </c>
      <c r="E327" s="34"/>
      <c r="F327" s="38">
        <f>F328+F331</f>
        <v>984920</v>
      </c>
      <c r="G327" s="38">
        <f>G328+G331</f>
        <v>1954640.79</v>
      </c>
      <c r="H327" s="36">
        <f t="shared" si="9"/>
        <v>2939560.79</v>
      </c>
    </row>
    <row r="328" spans="1:8" ht="63">
      <c r="A328" s="37" t="s">
        <v>264</v>
      </c>
      <c r="B328" s="33" t="s">
        <v>11</v>
      </c>
      <c r="C328" s="33" t="s">
        <v>242</v>
      </c>
      <c r="D328" s="34" t="s">
        <v>265</v>
      </c>
      <c r="E328" s="34"/>
      <c r="F328" s="38">
        <f>F329</f>
        <v>984920</v>
      </c>
      <c r="G328" s="38">
        <f>G329</f>
        <v>-864920</v>
      </c>
      <c r="H328" s="36">
        <f t="shared" si="9"/>
        <v>120000</v>
      </c>
    </row>
    <row r="329" spans="1:8" ht="31.5">
      <c r="A329" s="41" t="s">
        <v>28</v>
      </c>
      <c r="B329" s="33" t="s">
        <v>11</v>
      </c>
      <c r="C329" s="33" t="s">
        <v>242</v>
      </c>
      <c r="D329" s="34" t="s">
        <v>265</v>
      </c>
      <c r="E329" s="34">
        <v>200</v>
      </c>
      <c r="F329" s="38">
        <f>F330</f>
        <v>984920</v>
      </c>
      <c r="G329" s="38">
        <f>G330</f>
        <v>-864920</v>
      </c>
      <c r="H329" s="36">
        <f t="shared" si="9"/>
        <v>120000</v>
      </c>
    </row>
    <row r="330" spans="1:8" ht="31.5">
      <c r="A330" s="41" t="s">
        <v>30</v>
      </c>
      <c r="B330" s="33" t="s">
        <v>11</v>
      </c>
      <c r="C330" s="33" t="s">
        <v>242</v>
      </c>
      <c r="D330" s="34" t="s">
        <v>265</v>
      </c>
      <c r="E330" s="34">
        <v>240</v>
      </c>
      <c r="F330" s="42">
        <v>984920</v>
      </c>
      <c r="G330" s="42">
        <f>-864920</f>
        <v>-864920</v>
      </c>
      <c r="H330" s="36">
        <f t="shared" si="9"/>
        <v>120000</v>
      </c>
    </row>
    <row r="331" spans="1:8" ht="63.75" customHeight="1">
      <c r="A331" s="41" t="s">
        <v>113</v>
      </c>
      <c r="B331" s="33" t="s">
        <v>11</v>
      </c>
      <c r="C331" s="33" t="s">
        <v>242</v>
      </c>
      <c r="D331" s="34" t="s">
        <v>114</v>
      </c>
      <c r="E331" s="34"/>
      <c r="F331" s="42">
        <f>F332</f>
        <v>0</v>
      </c>
      <c r="G331" s="42">
        <f>G332</f>
        <v>2819560.79</v>
      </c>
      <c r="H331" s="36">
        <f t="shared" si="9"/>
        <v>2819560.79</v>
      </c>
    </row>
    <row r="332" spans="1:8" ht="15.75">
      <c r="A332" s="41" t="s">
        <v>36</v>
      </c>
      <c r="B332" s="33" t="s">
        <v>11</v>
      </c>
      <c r="C332" s="33" t="s">
        <v>242</v>
      </c>
      <c r="D332" s="34" t="s">
        <v>114</v>
      </c>
      <c r="E332" s="34">
        <v>800</v>
      </c>
      <c r="F332" s="42">
        <f>F333</f>
        <v>0</v>
      </c>
      <c r="G332" s="42">
        <f>G333</f>
        <v>2819560.79</v>
      </c>
      <c r="H332" s="36">
        <f t="shared" si="9"/>
        <v>2819560.79</v>
      </c>
    </row>
    <row r="333" spans="1:8" ht="52.5" customHeight="1">
      <c r="A333" s="37" t="s">
        <v>161</v>
      </c>
      <c r="B333" s="33" t="s">
        <v>11</v>
      </c>
      <c r="C333" s="33" t="s">
        <v>242</v>
      </c>
      <c r="D333" s="34" t="s">
        <v>114</v>
      </c>
      <c r="E333" s="34">
        <v>810</v>
      </c>
      <c r="F333" s="42">
        <v>0</v>
      </c>
      <c r="G333" s="42">
        <f>989316.79+1830244</f>
        <v>2819560.79</v>
      </c>
      <c r="H333" s="36">
        <f t="shared" si="9"/>
        <v>2819560.79</v>
      </c>
    </row>
    <row r="334" spans="1:8" ht="15.75">
      <c r="A334" s="26" t="s">
        <v>266</v>
      </c>
      <c r="B334" s="28" t="s">
        <v>11</v>
      </c>
      <c r="C334" s="28" t="s">
        <v>267</v>
      </c>
      <c r="D334" s="50"/>
      <c r="E334" s="50"/>
      <c r="F334" s="45">
        <f>SUM(F342,F335,F361)</f>
        <v>166894239.39999998</v>
      </c>
      <c r="G334" s="45">
        <f>SUM(G342,G335,G361)</f>
        <v>-82146987.25</v>
      </c>
      <c r="H334" s="30">
        <f t="shared" si="9"/>
        <v>84747252.14999998</v>
      </c>
    </row>
    <row r="335" spans="1:8" ht="47.25">
      <c r="A335" s="37" t="s">
        <v>258</v>
      </c>
      <c r="B335" s="33" t="s">
        <v>11</v>
      </c>
      <c r="C335" s="33" t="s">
        <v>267</v>
      </c>
      <c r="D335" s="34" t="s">
        <v>259</v>
      </c>
      <c r="E335" s="34"/>
      <c r="F335" s="38">
        <f>SUM(F339,F336)</f>
        <v>15568193</v>
      </c>
      <c r="G335" s="38">
        <f>SUM(G339,G336)</f>
        <v>1000000</v>
      </c>
      <c r="H335" s="36">
        <f t="shared" si="9"/>
        <v>16568193</v>
      </c>
    </row>
    <row r="336" spans="1:8" ht="15.75">
      <c r="A336" s="37" t="s">
        <v>268</v>
      </c>
      <c r="B336" s="33" t="s">
        <v>11</v>
      </c>
      <c r="C336" s="33" t="s">
        <v>267</v>
      </c>
      <c r="D336" s="34" t="s">
        <v>269</v>
      </c>
      <c r="E336" s="34"/>
      <c r="F336" s="38">
        <f>F337</f>
        <v>14668193</v>
      </c>
      <c r="G336" s="38">
        <f>G337</f>
        <v>0</v>
      </c>
      <c r="H336" s="36">
        <f t="shared" si="9"/>
        <v>14668193</v>
      </c>
    </row>
    <row r="337" spans="1:8" ht="15.75">
      <c r="A337" s="41" t="s">
        <v>36</v>
      </c>
      <c r="B337" s="33" t="s">
        <v>11</v>
      </c>
      <c r="C337" s="33" t="s">
        <v>267</v>
      </c>
      <c r="D337" s="34" t="s">
        <v>269</v>
      </c>
      <c r="E337" s="34">
        <v>800</v>
      </c>
      <c r="F337" s="38">
        <f>F338</f>
        <v>14668193</v>
      </c>
      <c r="G337" s="38">
        <f>G338</f>
        <v>0</v>
      </c>
      <c r="H337" s="36">
        <f t="shared" si="9"/>
        <v>14668193</v>
      </c>
    </row>
    <row r="338" spans="1:8" ht="63">
      <c r="A338" s="37" t="s">
        <v>161</v>
      </c>
      <c r="B338" s="33" t="s">
        <v>11</v>
      </c>
      <c r="C338" s="33" t="s">
        <v>267</v>
      </c>
      <c r="D338" s="34" t="s">
        <v>269</v>
      </c>
      <c r="E338" s="34">
        <v>810</v>
      </c>
      <c r="F338" s="38">
        <v>14668193</v>
      </c>
      <c r="G338" s="38">
        <v>0</v>
      </c>
      <c r="H338" s="36">
        <f t="shared" si="9"/>
        <v>14668193</v>
      </c>
    </row>
    <row r="339" spans="1:8" ht="31.5">
      <c r="A339" s="37" t="s">
        <v>270</v>
      </c>
      <c r="B339" s="33" t="s">
        <v>11</v>
      </c>
      <c r="C339" s="33" t="s">
        <v>267</v>
      </c>
      <c r="D339" s="34" t="s">
        <v>271</v>
      </c>
      <c r="E339" s="34"/>
      <c r="F339" s="38">
        <f>F340</f>
        <v>900000</v>
      </c>
      <c r="G339" s="38">
        <f>G340</f>
        <v>1000000</v>
      </c>
      <c r="H339" s="36">
        <f t="shared" si="9"/>
        <v>1900000</v>
      </c>
    </row>
    <row r="340" spans="1:8" ht="31.5">
      <c r="A340" s="37" t="s">
        <v>118</v>
      </c>
      <c r="B340" s="33" t="s">
        <v>11</v>
      </c>
      <c r="C340" s="33" t="s">
        <v>267</v>
      </c>
      <c r="D340" s="34" t="s">
        <v>271</v>
      </c>
      <c r="E340" s="34">
        <v>400</v>
      </c>
      <c r="F340" s="38">
        <f>F341</f>
        <v>900000</v>
      </c>
      <c r="G340" s="38">
        <f>G341</f>
        <v>1000000</v>
      </c>
      <c r="H340" s="36">
        <f t="shared" si="9"/>
        <v>1900000</v>
      </c>
    </row>
    <row r="341" spans="1:8" ht="110.25">
      <c r="A341" s="37" t="s">
        <v>272</v>
      </c>
      <c r="B341" s="33" t="s">
        <v>11</v>
      </c>
      <c r="C341" s="33" t="s">
        <v>267</v>
      </c>
      <c r="D341" s="34" t="s">
        <v>271</v>
      </c>
      <c r="E341" s="34">
        <v>460</v>
      </c>
      <c r="F341" s="38">
        <v>900000</v>
      </c>
      <c r="G341" s="38">
        <v>1000000</v>
      </c>
      <c r="H341" s="36">
        <f t="shared" si="9"/>
        <v>1900000</v>
      </c>
    </row>
    <row r="342" spans="1:8" ht="31.5">
      <c r="A342" s="37" t="s">
        <v>273</v>
      </c>
      <c r="B342" s="32" t="s">
        <v>11</v>
      </c>
      <c r="C342" s="33" t="s">
        <v>267</v>
      </c>
      <c r="D342" s="34" t="s">
        <v>71</v>
      </c>
      <c r="E342" s="34"/>
      <c r="F342" s="38">
        <f>SUM(F346,F352,F355,F358,F343,F349)</f>
        <v>131314935.28999999</v>
      </c>
      <c r="G342" s="38">
        <f>SUM(G346,G352,G355,G358,G343,G349)</f>
        <v>-83146987.25</v>
      </c>
      <c r="H342" s="36">
        <f t="shared" si="9"/>
        <v>48167948.03999999</v>
      </c>
    </row>
    <row r="343" spans="1:8" ht="15.75">
      <c r="A343" s="37" t="s">
        <v>274</v>
      </c>
      <c r="B343" s="32" t="s">
        <v>11</v>
      </c>
      <c r="C343" s="33" t="s">
        <v>267</v>
      </c>
      <c r="D343" s="34" t="s">
        <v>275</v>
      </c>
      <c r="E343" s="34"/>
      <c r="F343" s="38">
        <f>F344</f>
        <v>0</v>
      </c>
      <c r="G343" s="38">
        <f>G344</f>
        <v>1750639.21</v>
      </c>
      <c r="H343" s="36">
        <f t="shared" si="9"/>
        <v>1750639.21</v>
      </c>
    </row>
    <row r="344" spans="1:8" ht="31.5">
      <c r="A344" s="37" t="s">
        <v>118</v>
      </c>
      <c r="B344" s="32" t="s">
        <v>11</v>
      </c>
      <c r="C344" s="33" t="s">
        <v>267</v>
      </c>
      <c r="D344" s="34" t="s">
        <v>275</v>
      </c>
      <c r="E344" s="34">
        <v>400</v>
      </c>
      <c r="F344" s="38">
        <f>F345</f>
        <v>0</v>
      </c>
      <c r="G344" s="38">
        <f>G345</f>
        <v>1750639.21</v>
      </c>
      <c r="H344" s="36">
        <f t="shared" si="9"/>
        <v>1750639.21</v>
      </c>
    </row>
    <row r="345" spans="1:8" ht="15.75">
      <c r="A345" s="37" t="s">
        <v>119</v>
      </c>
      <c r="B345" s="32" t="s">
        <v>11</v>
      </c>
      <c r="C345" s="33" t="s">
        <v>267</v>
      </c>
      <c r="D345" s="34" t="s">
        <v>275</v>
      </c>
      <c r="E345" s="34">
        <v>410</v>
      </c>
      <c r="F345" s="38"/>
      <c r="G345" s="38">
        <f>1711776+38863.21</f>
        <v>1750639.21</v>
      </c>
      <c r="H345" s="36">
        <f t="shared" si="9"/>
        <v>1750639.21</v>
      </c>
    </row>
    <row r="346" spans="1:8" ht="78.75">
      <c r="A346" s="37" t="s">
        <v>276</v>
      </c>
      <c r="B346" s="32" t="s">
        <v>11</v>
      </c>
      <c r="C346" s="33" t="s">
        <v>267</v>
      </c>
      <c r="D346" s="34" t="s">
        <v>277</v>
      </c>
      <c r="E346" s="34"/>
      <c r="F346" s="38">
        <f>F347</f>
        <v>40238235.29</v>
      </c>
      <c r="G346" s="38">
        <f>G347</f>
        <v>-40238235.29</v>
      </c>
      <c r="H346" s="36">
        <f t="shared" si="9"/>
        <v>0</v>
      </c>
    </row>
    <row r="347" spans="1:8" s="39" customFormat="1" ht="31.5">
      <c r="A347" s="37" t="s">
        <v>118</v>
      </c>
      <c r="B347" s="32" t="s">
        <v>11</v>
      </c>
      <c r="C347" s="33" t="s">
        <v>267</v>
      </c>
      <c r="D347" s="34" t="s">
        <v>277</v>
      </c>
      <c r="E347" s="34">
        <v>400</v>
      </c>
      <c r="F347" s="38">
        <f>F348</f>
        <v>40238235.29</v>
      </c>
      <c r="G347" s="38">
        <f>G348</f>
        <v>-40238235.29</v>
      </c>
      <c r="H347" s="36">
        <f t="shared" si="9"/>
        <v>0</v>
      </c>
    </row>
    <row r="348" spans="1:8" s="16" customFormat="1" ht="15.75">
      <c r="A348" s="37" t="s">
        <v>119</v>
      </c>
      <c r="B348" s="32" t="s">
        <v>11</v>
      </c>
      <c r="C348" s="33" t="s">
        <v>267</v>
      </c>
      <c r="D348" s="34" t="s">
        <v>277</v>
      </c>
      <c r="E348" s="34">
        <v>410</v>
      </c>
      <c r="F348" s="38">
        <f>2011911.29+38226324</f>
        <v>40238235.29</v>
      </c>
      <c r="G348" s="38">
        <f>0.5-40238235.79</f>
        <v>-40238235.29</v>
      </c>
      <c r="H348" s="36">
        <f t="shared" si="9"/>
        <v>0</v>
      </c>
    </row>
    <row r="349" spans="1:8" s="16" customFormat="1" ht="47.25">
      <c r="A349" s="37" t="s">
        <v>278</v>
      </c>
      <c r="B349" s="32" t="s">
        <v>11</v>
      </c>
      <c r="C349" s="33" t="s">
        <v>267</v>
      </c>
      <c r="D349" s="34" t="s">
        <v>279</v>
      </c>
      <c r="E349" s="34"/>
      <c r="F349" s="38">
        <f>F350</f>
        <v>0</v>
      </c>
      <c r="G349" s="38">
        <f>G350</f>
        <v>329825.62</v>
      </c>
      <c r="H349" s="36">
        <f t="shared" si="9"/>
        <v>329825.62</v>
      </c>
    </row>
    <row r="350" spans="1:8" s="16" customFormat="1" ht="31.5">
      <c r="A350" s="37" t="s">
        <v>118</v>
      </c>
      <c r="B350" s="32" t="s">
        <v>11</v>
      </c>
      <c r="C350" s="33" t="s">
        <v>267</v>
      </c>
      <c r="D350" s="34" t="s">
        <v>279</v>
      </c>
      <c r="E350" s="34">
        <v>400</v>
      </c>
      <c r="F350" s="38">
        <f>F351</f>
        <v>0</v>
      </c>
      <c r="G350" s="38">
        <f>G351</f>
        <v>329825.62</v>
      </c>
      <c r="H350" s="36">
        <f t="shared" si="9"/>
        <v>329825.62</v>
      </c>
    </row>
    <row r="351" spans="1:8" s="16" customFormat="1" ht="110.25">
      <c r="A351" s="37" t="s">
        <v>272</v>
      </c>
      <c r="B351" s="32" t="s">
        <v>11</v>
      </c>
      <c r="C351" s="33" t="s">
        <v>267</v>
      </c>
      <c r="D351" s="34" t="s">
        <v>279</v>
      </c>
      <c r="E351" s="34">
        <v>460</v>
      </c>
      <c r="F351" s="38">
        <v>0</v>
      </c>
      <c r="G351" s="38">
        <f>225992+103833.62</f>
        <v>329825.62</v>
      </c>
      <c r="H351" s="36">
        <f t="shared" si="9"/>
        <v>329825.62</v>
      </c>
    </row>
    <row r="352" spans="1:8" ht="31.5">
      <c r="A352" s="37" t="s">
        <v>280</v>
      </c>
      <c r="B352" s="32" t="s">
        <v>11</v>
      </c>
      <c r="C352" s="33" t="s">
        <v>267</v>
      </c>
      <c r="D352" s="34" t="s">
        <v>281</v>
      </c>
      <c r="E352" s="34"/>
      <c r="F352" s="38">
        <f>F353</f>
        <v>38000000</v>
      </c>
      <c r="G352" s="38">
        <f>G353</f>
        <v>0</v>
      </c>
      <c r="H352" s="36">
        <f t="shared" si="9"/>
        <v>38000000</v>
      </c>
    </row>
    <row r="353" spans="1:8" ht="31.5">
      <c r="A353" s="37" t="s">
        <v>118</v>
      </c>
      <c r="B353" s="32" t="s">
        <v>11</v>
      </c>
      <c r="C353" s="33" t="s">
        <v>267</v>
      </c>
      <c r="D353" s="34" t="s">
        <v>281</v>
      </c>
      <c r="E353" s="34">
        <v>400</v>
      </c>
      <c r="F353" s="38">
        <f>F354</f>
        <v>38000000</v>
      </c>
      <c r="G353" s="38">
        <f>G354</f>
        <v>0</v>
      </c>
      <c r="H353" s="36">
        <f t="shared" si="9"/>
        <v>38000000</v>
      </c>
    </row>
    <row r="354" spans="1:8" ht="110.25">
      <c r="A354" s="37" t="s">
        <v>272</v>
      </c>
      <c r="B354" s="32" t="s">
        <v>11</v>
      </c>
      <c r="C354" s="33" t="s">
        <v>267</v>
      </c>
      <c r="D354" s="34" t="s">
        <v>281</v>
      </c>
      <c r="E354" s="34">
        <v>460</v>
      </c>
      <c r="F354" s="38">
        <v>38000000</v>
      </c>
      <c r="G354" s="38">
        <v>0</v>
      </c>
      <c r="H354" s="36">
        <f t="shared" si="9"/>
        <v>38000000</v>
      </c>
    </row>
    <row r="355" spans="1:8" ht="31.5">
      <c r="A355" s="37" t="s">
        <v>282</v>
      </c>
      <c r="B355" s="32" t="s">
        <v>11</v>
      </c>
      <c r="C355" s="33" t="s">
        <v>267</v>
      </c>
      <c r="D355" s="34" t="s">
        <v>283</v>
      </c>
      <c r="E355" s="34"/>
      <c r="F355" s="38">
        <f>F356</f>
        <v>24076700</v>
      </c>
      <c r="G355" s="38">
        <f>G356</f>
        <v>-15989216.79</v>
      </c>
      <c r="H355" s="36">
        <f t="shared" si="9"/>
        <v>8087483.210000001</v>
      </c>
    </row>
    <row r="356" spans="1:8" ht="31.5">
      <c r="A356" s="37" t="s">
        <v>118</v>
      </c>
      <c r="B356" s="32" t="s">
        <v>11</v>
      </c>
      <c r="C356" s="33" t="s">
        <v>267</v>
      </c>
      <c r="D356" s="34" t="s">
        <v>283</v>
      </c>
      <c r="E356" s="34">
        <v>400</v>
      </c>
      <c r="F356" s="38">
        <f>F357</f>
        <v>24076700</v>
      </c>
      <c r="G356" s="38">
        <f>G357</f>
        <v>-15989216.79</v>
      </c>
      <c r="H356" s="36">
        <f t="shared" si="9"/>
        <v>8087483.210000001</v>
      </c>
    </row>
    <row r="357" spans="1:8" ht="110.25">
      <c r="A357" s="37" t="s">
        <v>272</v>
      </c>
      <c r="B357" s="32" t="s">
        <v>11</v>
      </c>
      <c r="C357" s="33" t="s">
        <v>267</v>
      </c>
      <c r="D357" s="34" t="s">
        <v>283</v>
      </c>
      <c r="E357" s="34">
        <v>460</v>
      </c>
      <c r="F357" s="38">
        <f>16876700+7200000</f>
        <v>24076700</v>
      </c>
      <c r="G357" s="38">
        <f>-14000000-989316.79-999900</f>
        <v>-15989216.79</v>
      </c>
      <c r="H357" s="36">
        <f t="shared" si="9"/>
        <v>8087483.210000001</v>
      </c>
    </row>
    <row r="358" spans="1:8" ht="31.5">
      <c r="A358" s="37" t="s">
        <v>284</v>
      </c>
      <c r="B358" s="32" t="s">
        <v>11</v>
      </c>
      <c r="C358" s="33" t="s">
        <v>267</v>
      </c>
      <c r="D358" s="34" t="s">
        <v>285</v>
      </c>
      <c r="E358" s="34"/>
      <c r="F358" s="38">
        <f>F359</f>
        <v>29000000</v>
      </c>
      <c r="G358" s="38">
        <f>G359</f>
        <v>-29000000</v>
      </c>
      <c r="H358" s="36">
        <f t="shared" si="9"/>
        <v>0</v>
      </c>
    </row>
    <row r="359" spans="1:8" ht="31.5">
      <c r="A359" s="37" t="s">
        <v>118</v>
      </c>
      <c r="B359" s="32" t="s">
        <v>11</v>
      </c>
      <c r="C359" s="33" t="s">
        <v>267</v>
      </c>
      <c r="D359" s="34" t="s">
        <v>285</v>
      </c>
      <c r="E359" s="34">
        <v>400</v>
      </c>
      <c r="F359" s="38">
        <f>F360</f>
        <v>29000000</v>
      </c>
      <c r="G359" s="38">
        <f>G360</f>
        <v>-29000000</v>
      </c>
      <c r="H359" s="36">
        <f t="shared" si="9"/>
        <v>0</v>
      </c>
    </row>
    <row r="360" spans="1:8" ht="15.75">
      <c r="A360" s="37" t="s">
        <v>119</v>
      </c>
      <c r="B360" s="32" t="s">
        <v>11</v>
      </c>
      <c r="C360" s="33" t="s">
        <v>267</v>
      </c>
      <c r="D360" s="34" t="s">
        <v>285</v>
      </c>
      <c r="E360" s="34">
        <v>410</v>
      </c>
      <c r="F360" s="38">
        <v>29000000</v>
      </c>
      <c r="G360" s="38">
        <f>-17619903.89-9029282-2350814.11</f>
        <v>-29000000</v>
      </c>
      <c r="H360" s="36">
        <f t="shared" si="9"/>
        <v>0</v>
      </c>
    </row>
    <row r="361" spans="1:8" ht="15.75">
      <c r="A361" s="31" t="s">
        <v>16</v>
      </c>
      <c r="B361" s="33" t="s">
        <v>11</v>
      </c>
      <c r="C361" s="33" t="s">
        <v>267</v>
      </c>
      <c r="D361" s="34" t="s">
        <v>17</v>
      </c>
      <c r="E361" s="50"/>
      <c r="F361" s="38">
        <f>SUM(F362,F366)</f>
        <v>20011111.11</v>
      </c>
      <c r="G361" s="38">
        <f>SUM(G362,G366)</f>
        <v>0</v>
      </c>
      <c r="H361" s="36">
        <f t="shared" si="9"/>
        <v>20011111.11</v>
      </c>
    </row>
    <row r="362" spans="1:8" ht="47.25">
      <c r="A362" s="37" t="s">
        <v>51</v>
      </c>
      <c r="B362" s="33" t="s">
        <v>11</v>
      </c>
      <c r="C362" s="33" t="s">
        <v>267</v>
      </c>
      <c r="D362" s="34" t="s">
        <v>52</v>
      </c>
      <c r="E362" s="34"/>
      <c r="F362" s="38">
        <f aca="true" t="shared" si="12" ref="F362:G364">F363</f>
        <v>20000000</v>
      </c>
      <c r="G362" s="38">
        <f t="shared" si="12"/>
        <v>0</v>
      </c>
      <c r="H362" s="36">
        <f t="shared" si="9"/>
        <v>20000000</v>
      </c>
    </row>
    <row r="363" spans="1:8" ht="63">
      <c r="A363" s="37" t="s">
        <v>286</v>
      </c>
      <c r="B363" s="33" t="s">
        <v>11</v>
      </c>
      <c r="C363" s="33" t="s">
        <v>267</v>
      </c>
      <c r="D363" s="34" t="s">
        <v>287</v>
      </c>
      <c r="E363" s="34"/>
      <c r="F363" s="42">
        <f t="shared" si="12"/>
        <v>20000000</v>
      </c>
      <c r="G363" s="42">
        <f t="shared" si="12"/>
        <v>0</v>
      </c>
      <c r="H363" s="36">
        <f t="shared" si="9"/>
        <v>20000000</v>
      </c>
    </row>
    <row r="364" spans="1:8" ht="15.75">
      <c r="A364" s="37" t="s">
        <v>36</v>
      </c>
      <c r="B364" s="33" t="s">
        <v>11</v>
      </c>
      <c r="C364" s="33" t="s">
        <v>267</v>
      </c>
      <c r="D364" s="34" t="s">
        <v>287</v>
      </c>
      <c r="E364" s="34">
        <v>800</v>
      </c>
      <c r="F364" s="42">
        <f t="shared" si="12"/>
        <v>20000000</v>
      </c>
      <c r="G364" s="42">
        <f t="shared" si="12"/>
        <v>0</v>
      </c>
      <c r="H364" s="36">
        <f t="shared" si="9"/>
        <v>20000000</v>
      </c>
    </row>
    <row r="365" spans="1:8" ht="63">
      <c r="A365" s="37" t="s">
        <v>161</v>
      </c>
      <c r="B365" s="33" t="s">
        <v>11</v>
      </c>
      <c r="C365" s="33" t="s">
        <v>267</v>
      </c>
      <c r="D365" s="34" t="s">
        <v>287</v>
      </c>
      <c r="E365" s="34">
        <v>810</v>
      </c>
      <c r="F365" s="42">
        <v>20000000</v>
      </c>
      <c r="G365" s="42">
        <v>0</v>
      </c>
      <c r="H365" s="36">
        <f t="shared" si="9"/>
        <v>20000000</v>
      </c>
    </row>
    <row r="366" spans="1:8" ht="47.25">
      <c r="A366" s="37" t="s">
        <v>44</v>
      </c>
      <c r="B366" s="32" t="s">
        <v>11</v>
      </c>
      <c r="C366" s="33" t="s">
        <v>267</v>
      </c>
      <c r="D366" s="34" t="s">
        <v>45</v>
      </c>
      <c r="E366" s="34"/>
      <c r="F366" s="38">
        <f aca="true" t="shared" si="13" ref="F366:G368">F367</f>
        <v>11111.11</v>
      </c>
      <c r="G366" s="38">
        <f t="shared" si="13"/>
        <v>0</v>
      </c>
      <c r="H366" s="36">
        <f t="shared" si="9"/>
        <v>11111.11</v>
      </c>
    </row>
    <row r="367" spans="1:8" ht="110.25">
      <c r="A367" s="37" t="s">
        <v>288</v>
      </c>
      <c r="B367" s="32" t="s">
        <v>11</v>
      </c>
      <c r="C367" s="33" t="s">
        <v>267</v>
      </c>
      <c r="D367" s="34" t="s">
        <v>289</v>
      </c>
      <c r="E367" s="34"/>
      <c r="F367" s="38">
        <f t="shared" si="13"/>
        <v>11111.11</v>
      </c>
      <c r="G367" s="38">
        <f t="shared" si="13"/>
        <v>0</v>
      </c>
      <c r="H367" s="36">
        <f t="shared" si="9"/>
        <v>11111.11</v>
      </c>
    </row>
    <row r="368" spans="1:8" ht="31.5">
      <c r="A368" s="37" t="s">
        <v>118</v>
      </c>
      <c r="B368" s="32" t="s">
        <v>11</v>
      </c>
      <c r="C368" s="33" t="s">
        <v>267</v>
      </c>
      <c r="D368" s="34" t="s">
        <v>289</v>
      </c>
      <c r="E368" s="34">
        <v>400</v>
      </c>
      <c r="F368" s="38">
        <f t="shared" si="13"/>
        <v>11111.11</v>
      </c>
      <c r="G368" s="38">
        <f t="shared" si="13"/>
        <v>0</v>
      </c>
      <c r="H368" s="36">
        <f t="shared" si="9"/>
        <v>11111.11</v>
      </c>
    </row>
    <row r="369" spans="1:8" ht="15.75">
      <c r="A369" s="37" t="s">
        <v>119</v>
      </c>
      <c r="B369" s="32" t="s">
        <v>11</v>
      </c>
      <c r="C369" s="33" t="s">
        <v>267</v>
      </c>
      <c r="D369" s="34" t="s">
        <v>289</v>
      </c>
      <c r="E369" s="34">
        <v>410</v>
      </c>
      <c r="F369" s="42">
        <f>1111.11+10000</f>
        <v>11111.11</v>
      </c>
      <c r="G369" s="42">
        <v>0</v>
      </c>
      <c r="H369" s="36">
        <f t="shared" si="9"/>
        <v>11111.11</v>
      </c>
    </row>
    <row r="370" spans="1:8" s="39" customFormat="1" ht="15.75">
      <c r="A370" s="26" t="s">
        <v>290</v>
      </c>
      <c r="B370" s="27" t="s">
        <v>11</v>
      </c>
      <c r="C370" s="28" t="s">
        <v>291</v>
      </c>
      <c r="D370" s="50"/>
      <c r="E370" s="50"/>
      <c r="F370" s="45">
        <f>SUM(F371,F410,F417)</f>
        <v>227823774.35</v>
      </c>
      <c r="G370" s="45">
        <f>SUM(G371,G410,G417)</f>
        <v>73829808.1</v>
      </c>
      <c r="H370" s="30">
        <f t="shared" si="9"/>
        <v>301653582.45</v>
      </c>
    </row>
    <row r="371" spans="1:8" s="39" customFormat="1" ht="31.5">
      <c r="A371" s="37" t="s">
        <v>63</v>
      </c>
      <c r="B371" s="32" t="s">
        <v>11</v>
      </c>
      <c r="C371" s="33" t="s">
        <v>291</v>
      </c>
      <c r="D371" s="34" t="s">
        <v>64</v>
      </c>
      <c r="E371" s="34"/>
      <c r="F371" s="38">
        <f>SUM(F372,F384,F391,F406)</f>
        <v>205500000</v>
      </c>
      <c r="G371" s="38">
        <f>SUM(G372,G384,G391,G406)</f>
        <v>45709272.25999999</v>
      </c>
      <c r="H371" s="36">
        <f t="shared" si="9"/>
        <v>251209272.26</v>
      </c>
    </row>
    <row r="372" spans="1:8" s="39" customFormat="1" ht="31.5">
      <c r="A372" s="37" t="s">
        <v>292</v>
      </c>
      <c r="B372" s="32" t="s">
        <v>11</v>
      </c>
      <c r="C372" s="33" t="s">
        <v>291</v>
      </c>
      <c r="D372" s="34" t="s">
        <v>293</v>
      </c>
      <c r="E372" s="34"/>
      <c r="F372" s="38">
        <f>SUM(F373,F378,F381)</f>
        <v>123000000</v>
      </c>
      <c r="G372" s="38">
        <f>SUM(G373,G378,G381)</f>
        <v>-38147264.59</v>
      </c>
      <c r="H372" s="36">
        <f t="shared" si="9"/>
        <v>84852735.41</v>
      </c>
    </row>
    <row r="373" spans="1:8" s="16" customFormat="1" ht="31.5">
      <c r="A373" s="37" t="s">
        <v>294</v>
      </c>
      <c r="B373" s="32" t="s">
        <v>11</v>
      </c>
      <c r="C373" s="33" t="s">
        <v>291</v>
      </c>
      <c r="D373" s="34" t="s">
        <v>295</v>
      </c>
      <c r="E373" s="34"/>
      <c r="F373" s="38">
        <f>SUM(F374,F376)</f>
        <v>83000000</v>
      </c>
      <c r="G373" s="38">
        <f>SUM(G374,G376)</f>
        <v>-43339700</v>
      </c>
      <c r="H373" s="36">
        <f t="shared" si="9"/>
        <v>39660300</v>
      </c>
    </row>
    <row r="374" spans="1:8" s="16" customFormat="1" ht="31.5">
      <c r="A374" s="41" t="s">
        <v>28</v>
      </c>
      <c r="B374" s="32" t="s">
        <v>11</v>
      </c>
      <c r="C374" s="33" t="s">
        <v>291</v>
      </c>
      <c r="D374" s="34" t="s">
        <v>295</v>
      </c>
      <c r="E374" s="34">
        <v>200</v>
      </c>
      <c r="F374" s="38">
        <f>F375</f>
        <v>45000000</v>
      </c>
      <c r="G374" s="38">
        <f>G375</f>
        <v>-45000000</v>
      </c>
      <c r="H374" s="36">
        <f t="shared" si="9"/>
        <v>0</v>
      </c>
    </row>
    <row r="375" spans="1:8" s="16" customFormat="1" ht="31.5">
      <c r="A375" s="41" t="s">
        <v>30</v>
      </c>
      <c r="B375" s="32" t="s">
        <v>11</v>
      </c>
      <c r="C375" s="33" t="s">
        <v>291</v>
      </c>
      <c r="D375" s="34" t="s">
        <v>295</v>
      </c>
      <c r="E375" s="34">
        <v>240</v>
      </c>
      <c r="F375" s="38">
        <v>45000000</v>
      </c>
      <c r="G375" s="38">
        <f>-6545120-5489685.6-570000-3500000-252155.02-1132420-3852901.2-250000-2400000-21007718.18</f>
        <v>-45000000</v>
      </c>
      <c r="H375" s="36">
        <f t="shared" si="9"/>
        <v>0</v>
      </c>
    </row>
    <row r="376" spans="1:8" s="16" customFormat="1" ht="15.75">
      <c r="A376" s="41" t="s">
        <v>36</v>
      </c>
      <c r="B376" s="32" t="s">
        <v>11</v>
      </c>
      <c r="C376" s="33" t="s">
        <v>291</v>
      </c>
      <c r="D376" s="34" t="s">
        <v>295</v>
      </c>
      <c r="E376" s="34">
        <v>800</v>
      </c>
      <c r="F376" s="38">
        <f>F377</f>
        <v>38000000</v>
      </c>
      <c r="G376" s="38">
        <f>G377</f>
        <v>1660300</v>
      </c>
      <c r="H376" s="36">
        <f t="shared" si="9"/>
        <v>39660300</v>
      </c>
    </row>
    <row r="377" spans="1:8" s="16" customFormat="1" ht="63">
      <c r="A377" s="37" t="s">
        <v>161</v>
      </c>
      <c r="B377" s="32" t="s">
        <v>11</v>
      </c>
      <c r="C377" s="33" t="s">
        <v>291</v>
      </c>
      <c r="D377" s="34" t="s">
        <v>295</v>
      </c>
      <c r="E377" s="34">
        <v>810</v>
      </c>
      <c r="F377" s="38">
        <v>38000000</v>
      </c>
      <c r="G377" s="38">
        <f>170000+999900+490400</f>
        <v>1660300</v>
      </c>
      <c r="H377" s="36">
        <f t="shared" si="9"/>
        <v>39660300</v>
      </c>
    </row>
    <row r="378" spans="1:8" s="39" customFormat="1" ht="47.25">
      <c r="A378" s="37" t="s">
        <v>296</v>
      </c>
      <c r="B378" s="32" t="s">
        <v>11</v>
      </c>
      <c r="C378" s="33" t="s">
        <v>291</v>
      </c>
      <c r="D378" s="34" t="s">
        <v>297</v>
      </c>
      <c r="E378" s="34"/>
      <c r="F378" s="38">
        <f>F379</f>
        <v>32000000</v>
      </c>
      <c r="G378" s="38">
        <f>G379</f>
        <v>5842500</v>
      </c>
      <c r="H378" s="36">
        <f t="shared" si="9"/>
        <v>37842500</v>
      </c>
    </row>
    <row r="379" spans="1:8" s="39" customFormat="1" ht="15.75">
      <c r="A379" s="41" t="s">
        <v>36</v>
      </c>
      <c r="B379" s="32" t="s">
        <v>11</v>
      </c>
      <c r="C379" s="33" t="s">
        <v>291</v>
      </c>
      <c r="D379" s="34" t="s">
        <v>297</v>
      </c>
      <c r="E379" s="34">
        <v>800</v>
      </c>
      <c r="F379" s="38">
        <f>F380</f>
        <v>32000000</v>
      </c>
      <c r="G379" s="38">
        <f>G380</f>
        <v>5842500</v>
      </c>
      <c r="H379" s="36">
        <f t="shared" si="9"/>
        <v>37842500</v>
      </c>
    </row>
    <row r="380" spans="1:8" s="39" customFormat="1" ht="63">
      <c r="A380" s="37" t="s">
        <v>161</v>
      </c>
      <c r="B380" s="32" t="s">
        <v>11</v>
      </c>
      <c r="C380" s="33" t="s">
        <v>291</v>
      </c>
      <c r="D380" s="34" t="s">
        <v>297</v>
      </c>
      <c r="E380" s="34">
        <v>810</v>
      </c>
      <c r="F380" s="38">
        <v>32000000</v>
      </c>
      <c r="G380" s="38">
        <f>4000000+1842500</f>
        <v>5842500</v>
      </c>
      <c r="H380" s="36">
        <f t="shared" si="9"/>
        <v>37842500</v>
      </c>
    </row>
    <row r="381" spans="1:8" s="39" customFormat="1" ht="31.5">
      <c r="A381" s="51" t="s">
        <v>298</v>
      </c>
      <c r="B381" s="32" t="s">
        <v>11</v>
      </c>
      <c r="C381" s="33" t="s">
        <v>291</v>
      </c>
      <c r="D381" s="34" t="s">
        <v>299</v>
      </c>
      <c r="E381" s="34"/>
      <c r="F381" s="38">
        <f>F382</f>
        <v>8000000</v>
      </c>
      <c r="G381" s="38">
        <f>G382</f>
        <v>-650064.5899999999</v>
      </c>
      <c r="H381" s="36">
        <f t="shared" si="9"/>
        <v>7349935.41</v>
      </c>
    </row>
    <row r="382" spans="1:8" s="16" customFormat="1" ht="15.75">
      <c r="A382" s="41" t="s">
        <v>36</v>
      </c>
      <c r="B382" s="32" t="s">
        <v>11</v>
      </c>
      <c r="C382" s="33" t="s">
        <v>291</v>
      </c>
      <c r="D382" s="34" t="s">
        <v>299</v>
      </c>
      <c r="E382" s="34">
        <v>800</v>
      </c>
      <c r="F382" s="38">
        <f>F383</f>
        <v>8000000</v>
      </c>
      <c r="G382" s="38">
        <f>G383</f>
        <v>-650064.5899999999</v>
      </c>
      <c r="H382" s="36">
        <f t="shared" si="9"/>
        <v>7349935.41</v>
      </c>
    </row>
    <row r="383" spans="1:8" s="39" customFormat="1" ht="63">
      <c r="A383" s="37" t="s">
        <v>161</v>
      </c>
      <c r="B383" s="32" t="s">
        <v>11</v>
      </c>
      <c r="C383" s="33" t="s">
        <v>291</v>
      </c>
      <c r="D383" s="34" t="s">
        <v>299</v>
      </c>
      <c r="E383" s="34">
        <v>810</v>
      </c>
      <c r="F383" s="38">
        <v>8000000</v>
      </c>
      <c r="G383" s="38">
        <f>-295000-168000-906597.59+719533</f>
        <v>-650064.5899999999</v>
      </c>
      <c r="H383" s="36">
        <f t="shared" si="9"/>
        <v>7349935.41</v>
      </c>
    </row>
    <row r="384" spans="1:8" s="39" customFormat="1" ht="31.5">
      <c r="A384" s="37" t="s">
        <v>300</v>
      </c>
      <c r="B384" s="32" t="s">
        <v>11</v>
      </c>
      <c r="C384" s="33" t="s">
        <v>291</v>
      </c>
      <c r="D384" s="34" t="s">
        <v>301</v>
      </c>
      <c r="E384" s="34"/>
      <c r="F384" s="38">
        <f>SUM(F385,F388)</f>
        <v>50000000</v>
      </c>
      <c r="G384" s="38">
        <f>SUM(G385,G388)</f>
        <v>9294710.25</v>
      </c>
      <c r="H384" s="36">
        <f t="shared" si="9"/>
        <v>59294710.25</v>
      </c>
    </row>
    <row r="385" spans="1:8" s="16" customFormat="1" ht="31.5">
      <c r="A385" s="37" t="s">
        <v>302</v>
      </c>
      <c r="B385" s="32" t="s">
        <v>11</v>
      </c>
      <c r="C385" s="33" t="s">
        <v>291</v>
      </c>
      <c r="D385" s="34" t="s">
        <v>303</v>
      </c>
      <c r="E385" s="34"/>
      <c r="F385" s="38">
        <f>F386</f>
        <v>45000000</v>
      </c>
      <c r="G385" s="38">
        <f>G386</f>
        <v>7000000</v>
      </c>
      <c r="H385" s="36">
        <f t="shared" si="9"/>
        <v>52000000</v>
      </c>
    </row>
    <row r="386" spans="1:8" s="39" customFormat="1" ht="15.75">
      <c r="A386" s="41" t="s">
        <v>36</v>
      </c>
      <c r="B386" s="32" t="s">
        <v>11</v>
      </c>
      <c r="C386" s="33" t="s">
        <v>291</v>
      </c>
      <c r="D386" s="34" t="s">
        <v>303</v>
      </c>
      <c r="E386" s="34">
        <v>800</v>
      </c>
      <c r="F386" s="38">
        <f>F387</f>
        <v>45000000</v>
      </c>
      <c r="G386" s="38">
        <f>G387</f>
        <v>7000000</v>
      </c>
      <c r="H386" s="36">
        <f t="shared" si="9"/>
        <v>52000000</v>
      </c>
    </row>
    <row r="387" spans="1:8" s="16" customFormat="1" ht="63">
      <c r="A387" s="37" t="s">
        <v>161</v>
      </c>
      <c r="B387" s="32" t="s">
        <v>11</v>
      </c>
      <c r="C387" s="33" t="s">
        <v>291</v>
      </c>
      <c r="D387" s="34" t="s">
        <v>303</v>
      </c>
      <c r="E387" s="34">
        <v>810</v>
      </c>
      <c r="F387" s="38">
        <v>45000000</v>
      </c>
      <c r="G387" s="38">
        <v>7000000</v>
      </c>
      <c r="H387" s="36">
        <f t="shared" si="9"/>
        <v>52000000</v>
      </c>
    </row>
    <row r="388" spans="1:8" s="39" customFormat="1" ht="31.5">
      <c r="A388" s="37" t="s">
        <v>304</v>
      </c>
      <c r="B388" s="32" t="s">
        <v>11</v>
      </c>
      <c r="C388" s="33" t="s">
        <v>291</v>
      </c>
      <c r="D388" s="34" t="s">
        <v>305</v>
      </c>
      <c r="E388" s="34"/>
      <c r="F388" s="38">
        <f>F389</f>
        <v>5000000</v>
      </c>
      <c r="G388" s="38">
        <f>G389</f>
        <v>2294710.25</v>
      </c>
      <c r="H388" s="36">
        <f t="shared" si="9"/>
        <v>7294710.25</v>
      </c>
    </row>
    <row r="389" spans="1:8" s="39" customFormat="1" ht="31.5">
      <c r="A389" s="37" t="s">
        <v>118</v>
      </c>
      <c r="B389" s="32" t="s">
        <v>11</v>
      </c>
      <c r="C389" s="33" t="s">
        <v>291</v>
      </c>
      <c r="D389" s="34" t="s">
        <v>305</v>
      </c>
      <c r="E389" s="34">
        <v>400</v>
      </c>
      <c r="F389" s="38">
        <f>F390</f>
        <v>5000000</v>
      </c>
      <c r="G389" s="38">
        <f>G390</f>
        <v>2294710.25</v>
      </c>
      <c r="H389" s="36">
        <f t="shared" si="9"/>
        <v>7294710.25</v>
      </c>
    </row>
    <row r="390" spans="1:8" s="39" customFormat="1" ht="110.25">
      <c r="A390" s="37" t="s">
        <v>272</v>
      </c>
      <c r="B390" s="32" t="s">
        <v>11</v>
      </c>
      <c r="C390" s="33" t="s">
        <v>291</v>
      </c>
      <c r="D390" s="34" t="s">
        <v>305</v>
      </c>
      <c r="E390" s="34">
        <v>460</v>
      </c>
      <c r="F390" s="38">
        <v>5000000</v>
      </c>
      <c r="G390" s="38">
        <f>2044710.25+250000</f>
        <v>2294710.25</v>
      </c>
      <c r="H390" s="36">
        <f t="shared" si="9"/>
        <v>7294710.25</v>
      </c>
    </row>
    <row r="391" spans="1:8" s="39" customFormat="1" ht="31.5">
      <c r="A391" s="51" t="s">
        <v>306</v>
      </c>
      <c r="B391" s="32" t="s">
        <v>11</v>
      </c>
      <c r="C391" s="33" t="s">
        <v>291</v>
      </c>
      <c r="D391" s="34" t="s">
        <v>307</v>
      </c>
      <c r="E391" s="34"/>
      <c r="F391" s="38">
        <f>F392+F397+F403+F400</f>
        <v>30000000</v>
      </c>
      <c r="G391" s="38">
        <f>G392+G397+G403+G400</f>
        <v>74461826.6</v>
      </c>
      <c r="H391" s="36">
        <f t="shared" si="9"/>
        <v>104461826.6</v>
      </c>
    </row>
    <row r="392" spans="1:8" s="39" customFormat="1" ht="31.5">
      <c r="A392" s="51" t="s">
        <v>308</v>
      </c>
      <c r="B392" s="32" t="s">
        <v>11</v>
      </c>
      <c r="C392" s="33" t="s">
        <v>291</v>
      </c>
      <c r="D392" s="34" t="s">
        <v>309</v>
      </c>
      <c r="E392" s="34"/>
      <c r="F392" s="38">
        <f>F395+F393</f>
        <v>28500000</v>
      </c>
      <c r="G392" s="38">
        <f>G395+G393</f>
        <v>11082996.6</v>
      </c>
      <c r="H392" s="36">
        <f t="shared" si="9"/>
        <v>39582996.6</v>
      </c>
    </row>
    <row r="393" spans="1:8" s="39" customFormat="1" ht="31.5">
      <c r="A393" s="41" t="s">
        <v>28</v>
      </c>
      <c r="B393" s="32" t="s">
        <v>11</v>
      </c>
      <c r="C393" s="33" t="s">
        <v>291</v>
      </c>
      <c r="D393" s="34" t="s">
        <v>309</v>
      </c>
      <c r="E393" s="34">
        <v>200</v>
      </c>
      <c r="F393" s="38">
        <f>F394</f>
        <v>0</v>
      </c>
      <c r="G393" s="38">
        <f>G394</f>
        <v>3105855.6</v>
      </c>
      <c r="H393" s="36">
        <f t="shared" si="9"/>
        <v>3105855.6</v>
      </c>
    </row>
    <row r="394" spans="1:8" s="39" customFormat="1" ht="31.5">
      <c r="A394" s="41" t="s">
        <v>30</v>
      </c>
      <c r="B394" s="32" t="s">
        <v>11</v>
      </c>
      <c r="C394" s="33" t="s">
        <v>291</v>
      </c>
      <c r="D394" s="34" t="s">
        <v>309</v>
      </c>
      <c r="E394" s="34">
        <v>240</v>
      </c>
      <c r="F394" s="38">
        <v>0</v>
      </c>
      <c r="G394" s="38">
        <f>1467762+177747.6+1460346</f>
        <v>3105855.6</v>
      </c>
      <c r="H394" s="36">
        <f t="shared" si="9"/>
        <v>3105855.6</v>
      </c>
    </row>
    <row r="395" spans="1:8" s="39" customFormat="1" ht="31.5">
      <c r="A395" s="37" t="s">
        <v>74</v>
      </c>
      <c r="B395" s="32" t="s">
        <v>11</v>
      </c>
      <c r="C395" s="33" t="s">
        <v>291</v>
      </c>
      <c r="D395" s="34" t="s">
        <v>309</v>
      </c>
      <c r="E395" s="34">
        <v>600</v>
      </c>
      <c r="F395" s="38">
        <f>F396</f>
        <v>28500000</v>
      </c>
      <c r="G395" s="38">
        <f>G396</f>
        <v>7977141</v>
      </c>
      <c r="H395" s="36">
        <f t="shared" si="9"/>
        <v>36477141</v>
      </c>
    </row>
    <row r="396" spans="1:8" s="39" customFormat="1" ht="15.75">
      <c r="A396" s="37" t="s">
        <v>310</v>
      </c>
      <c r="B396" s="32" t="s">
        <v>11</v>
      </c>
      <c r="C396" s="33" t="s">
        <v>291</v>
      </c>
      <c r="D396" s="34" t="s">
        <v>309</v>
      </c>
      <c r="E396" s="34">
        <v>620</v>
      </c>
      <c r="F396" s="38">
        <f>29000000-500000</f>
        <v>28500000</v>
      </c>
      <c r="G396" s="38">
        <f>7500000+168000-500000+300000+509141</f>
        <v>7977141</v>
      </c>
      <c r="H396" s="36">
        <f t="shared" si="9"/>
        <v>36477141</v>
      </c>
    </row>
    <row r="397" spans="1:8" s="39" customFormat="1" ht="31.5">
      <c r="A397" s="51" t="s">
        <v>311</v>
      </c>
      <c r="B397" s="32" t="s">
        <v>11</v>
      </c>
      <c r="C397" s="33" t="s">
        <v>291</v>
      </c>
      <c r="D397" s="34" t="s">
        <v>312</v>
      </c>
      <c r="E397" s="34"/>
      <c r="F397" s="38">
        <f>F398</f>
        <v>1500000</v>
      </c>
      <c r="G397" s="38">
        <f>G398</f>
        <v>500000</v>
      </c>
      <c r="H397" s="36">
        <f t="shared" si="9"/>
        <v>2000000</v>
      </c>
    </row>
    <row r="398" spans="1:8" s="39" customFormat="1" ht="31.5">
      <c r="A398" s="37" t="s">
        <v>74</v>
      </c>
      <c r="B398" s="32" t="s">
        <v>11</v>
      </c>
      <c r="C398" s="33" t="s">
        <v>291</v>
      </c>
      <c r="D398" s="34" t="s">
        <v>312</v>
      </c>
      <c r="E398" s="34">
        <v>600</v>
      </c>
      <c r="F398" s="38">
        <f>F399</f>
        <v>1500000</v>
      </c>
      <c r="G398" s="38">
        <f>G399</f>
        <v>500000</v>
      </c>
      <c r="H398" s="36">
        <f t="shared" si="9"/>
        <v>2000000</v>
      </c>
    </row>
    <row r="399" spans="1:8" s="16" customFormat="1" ht="15.75">
      <c r="A399" s="37" t="s">
        <v>310</v>
      </c>
      <c r="B399" s="32" t="s">
        <v>11</v>
      </c>
      <c r="C399" s="33" t="s">
        <v>291</v>
      </c>
      <c r="D399" s="34" t="s">
        <v>312</v>
      </c>
      <c r="E399" s="34">
        <v>620</v>
      </c>
      <c r="F399" s="38">
        <v>1500000</v>
      </c>
      <c r="G399" s="38">
        <v>500000</v>
      </c>
      <c r="H399" s="36">
        <f t="shared" si="9"/>
        <v>2000000</v>
      </c>
    </row>
    <row r="400" spans="1:8" s="16" customFormat="1" ht="31.5">
      <c r="A400" s="37" t="s">
        <v>313</v>
      </c>
      <c r="B400" s="32" t="s">
        <v>11</v>
      </c>
      <c r="C400" s="33" t="s">
        <v>291</v>
      </c>
      <c r="D400" s="34" t="s">
        <v>314</v>
      </c>
      <c r="E400" s="34"/>
      <c r="F400" s="38">
        <f>F401</f>
        <v>0</v>
      </c>
      <c r="G400" s="38">
        <f>G401</f>
        <v>22640594.21</v>
      </c>
      <c r="H400" s="36">
        <f t="shared" si="9"/>
        <v>22640594.21</v>
      </c>
    </row>
    <row r="401" spans="1:8" s="16" customFormat="1" ht="31.5">
      <c r="A401" s="41" t="s">
        <v>28</v>
      </c>
      <c r="B401" s="32" t="s">
        <v>11</v>
      </c>
      <c r="C401" s="33" t="s">
        <v>291</v>
      </c>
      <c r="D401" s="34" t="s">
        <v>314</v>
      </c>
      <c r="E401" s="34">
        <v>200</v>
      </c>
      <c r="F401" s="38">
        <f>F402</f>
        <v>0</v>
      </c>
      <c r="G401" s="38">
        <f>G402</f>
        <v>22640594.21</v>
      </c>
      <c r="H401" s="36">
        <f t="shared" si="9"/>
        <v>22640594.21</v>
      </c>
    </row>
    <row r="402" spans="1:8" s="16" customFormat="1" ht="31.5">
      <c r="A402" s="41" t="s">
        <v>30</v>
      </c>
      <c r="B402" s="32" t="s">
        <v>11</v>
      </c>
      <c r="C402" s="33" t="s">
        <v>291</v>
      </c>
      <c r="D402" s="34" t="s">
        <v>314</v>
      </c>
      <c r="E402" s="34">
        <v>240</v>
      </c>
      <c r="F402" s="38">
        <v>0</v>
      </c>
      <c r="G402" s="38">
        <f>3500000+1376330+21007718.18-3243453.97</f>
        <v>22640594.21</v>
      </c>
      <c r="H402" s="36">
        <f t="shared" si="9"/>
        <v>22640594.21</v>
      </c>
    </row>
    <row r="403" spans="1:8" s="16" customFormat="1" ht="62.25" customHeight="1">
      <c r="A403" s="37" t="s">
        <v>315</v>
      </c>
      <c r="B403" s="32" t="s">
        <v>11</v>
      </c>
      <c r="C403" s="33" t="s">
        <v>291</v>
      </c>
      <c r="D403" s="34" t="s">
        <v>316</v>
      </c>
      <c r="E403" s="34"/>
      <c r="F403" s="38">
        <f>F404</f>
        <v>0</v>
      </c>
      <c r="G403" s="38">
        <f>G404</f>
        <v>40238235.79</v>
      </c>
      <c r="H403" s="36">
        <f t="shared" si="9"/>
        <v>40238235.79</v>
      </c>
    </row>
    <row r="404" spans="1:8" s="16" customFormat="1" ht="31.5">
      <c r="A404" s="41" t="s">
        <v>28</v>
      </c>
      <c r="B404" s="32" t="s">
        <v>11</v>
      </c>
      <c r="C404" s="33" t="s">
        <v>291</v>
      </c>
      <c r="D404" s="34" t="s">
        <v>316</v>
      </c>
      <c r="E404" s="34">
        <v>200</v>
      </c>
      <c r="F404" s="38">
        <f>F405</f>
        <v>0</v>
      </c>
      <c r="G404" s="38">
        <f>G405</f>
        <v>40238235.79</v>
      </c>
      <c r="H404" s="36">
        <f t="shared" si="9"/>
        <v>40238235.79</v>
      </c>
    </row>
    <row r="405" spans="1:8" s="16" customFormat="1" ht="31.5">
      <c r="A405" s="41" t="s">
        <v>30</v>
      </c>
      <c r="B405" s="32" t="s">
        <v>11</v>
      </c>
      <c r="C405" s="33" t="s">
        <v>291</v>
      </c>
      <c r="D405" s="34" t="s">
        <v>316</v>
      </c>
      <c r="E405" s="34">
        <v>240</v>
      </c>
      <c r="F405" s="38">
        <v>0</v>
      </c>
      <c r="G405" s="38">
        <v>40238235.79</v>
      </c>
      <c r="H405" s="36">
        <f t="shared" si="9"/>
        <v>40238235.79</v>
      </c>
    </row>
    <row r="406" spans="1:8" s="39" customFormat="1" ht="15.75">
      <c r="A406" s="51" t="s">
        <v>65</v>
      </c>
      <c r="B406" s="32" t="s">
        <v>11</v>
      </c>
      <c r="C406" s="33" t="s">
        <v>291</v>
      </c>
      <c r="D406" s="34" t="s">
        <v>66</v>
      </c>
      <c r="E406" s="34"/>
      <c r="F406" s="38">
        <f aca="true" t="shared" si="14" ref="F406:G408">F407</f>
        <v>2500000</v>
      </c>
      <c r="G406" s="38">
        <f t="shared" si="14"/>
        <v>100000</v>
      </c>
      <c r="H406" s="36">
        <f t="shared" si="9"/>
        <v>2600000</v>
      </c>
    </row>
    <row r="407" spans="1:8" s="39" customFormat="1" ht="31.5">
      <c r="A407" s="51" t="s">
        <v>317</v>
      </c>
      <c r="B407" s="32" t="s">
        <v>11</v>
      </c>
      <c r="C407" s="33" t="s">
        <v>291</v>
      </c>
      <c r="D407" s="34" t="s">
        <v>318</v>
      </c>
      <c r="E407" s="34"/>
      <c r="F407" s="38">
        <f t="shared" si="14"/>
        <v>2500000</v>
      </c>
      <c r="G407" s="38">
        <f t="shared" si="14"/>
        <v>100000</v>
      </c>
      <c r="H407" s="36">
        <f t="shared" si="9"/>
        <v>2600000</v>
      </c>
    </row>
    <row r="408" spans="1:8" s="39" customFormat="1" ht="31.5">
      <c r="A408" s="41" t="s">
        <v>28</v>
      </c>
      <c r="B408" s="32" t="s">
        <v>11</v>
      </c>
      <c r="C408" s="33" t="s">
        <v>291</v>
      </c>
      <c r="D408" s="34" t="s">
        <v>318</v>
      </c>
      <c r="E408" s="34">
        <v>200</v>
      </c>
      <c r="F408" s="38">
        <f t="shared" si="14"/>
        <v>2500000</v>
      </c>
      <c r="G408" s="38">
        <f t="shared" si="14"/>
        <v>100000</v>
      </c>
      <c r="H408" s="36">
        <f t="shared" si="9"/>
        <v>2600000</v>
      </c>
    </row>
    <row r="409" spans="1:8" s="39" customFormat="1" ht="31.5">
      <c r="A409" s="41" t="s">
        <v>30</v>
      </c>
      <c r="B409" s="32" t="s">
        <v>11</v>
      </c>
      <c r="C409" s="33" t="s">
        <v>291</v>
      </c>
      <c r="D409" s="34" t="s">
        <v>318</v>
      </c>
      <c r="E409" s="34">
        <v>240</v>
      </c>
      <c r="F409" s="42">
        <v>2500000</v>
      </c>
      <c r="G409" s="42">
        <v>100000</v>
      </c>
      <c r="H409" s="36">
        <f t="shared" si="9"/>
        <v>2600000</v>
      </c>
    </row>
    <row r="410" spans="1:8" ht="31.5">
      <c r="A410" s="41" t="s">
        <v>319</v>
      </c>
      <c r="B410" s="32" t="s">
        <v>11</v>
      </c>
      <c r="C410" s="33" t="s">
        <v>291</v>
      </c>
      <c r="D410" s="34" t="s">
        <v>320</v>
      </c>
      <c r="E410" s="34"/>
      <c r="F410" s="42">
        <f>SUM(F414,F411)</f>
        <v>21138744.35</v>
      </c>
      <c r="G410" s="42">
        <f>SUM(G414,G411)</f>
        <v>-1325929.6400000001</v>
      </c>
      <c r="H410" s="42">
        <f>SUM(H414,H411)</f>
        <v>19812814.71</v>
      </c>
    </row>
    <row r="411" spans="1:8" ht="63">
      <c r="A411" s="41" t="s">
        <v>321</v>
      </c>
      <c r="B411" s="32" t="s">
        <v>11</v>
      </c>
      <c r="C411" s="33" t="s">
        <v>291</v>
      </c>
      <c r="D411" s="34" t="s">
        <v>322</v>
      </c>
      <c r="E411" s="34"/>
      <c r="F411" s="42">
        <f>F412</f>
        <v>0</v>
      </c>
      <c r="G411" s="42">
        <f>G412</f>
        <v>310759.2</v>
      </c>
      <c r="H411" s="35">
        <f aca="true" t="shared" si="15" ref="H411:H474">SUM(F411:G411)</f>
        <v>310759.2</v>
      </c>
    </row>
    <row r="412" spans="1:8" ht="31.5">
      <c r="A412" s="41" t="s">
        <v>28</v>
      </c>
      <c r="B412" s="32" t="s">
        <v>11</v>
      </c>
      <c r="C412" s="33" t="s">
        <v>291</v>
      </c>
      <c r="D412" s="34" t="s">
        <v>322</v>
      </c>
      <c r="E412" s="34">
        <v>200</v>
      </c>
      <c r="F412" s="42">
        <f>F413</f>
        <v>0</v>
      </c>
      <c r="G412" s="42">
        <f>G413</f>
        <v>310759.2</v>
      </c>
      <c r="H412" s="35">
        <f t="shared" si="15"/>
        <v>310759.2</v>
      </c>
    </row>
    <row r="413" spans="1:8" ht="31.5">
      <c r="A413" s="41" t="s">
        <v>30</v>
      </c>
      <c r="B413" s="32" t="s">
        <v>11</v>
      </c>
      <c r="C413" s="33" t="s">
        <v>291</v>
      </c>
      <c r="D413" s="34" t="s">
        <v>322</v>
      </c>
      <c r="E413" s="34">
        <v>240</v>
      </c>
      <c r="F413" s="42">
        <v>0</v>
      </c>
      <c r="G413" s="42">
        <v>310759.2</v>
      </c>
      <c r="H413" s="35">
        <f t="shared" si="15"/>
        <v>310759.2</v>
      </c>
    </row>
    <row r="414" spans="1:8" ht="110.25">
      <c r="A414" s="56" t="s">
        <v>323</v>
      </c>
      <c r="B414" s="32" t="s">
        <v>11</v>
      </c>
      <c r="C414" s="33" t="s">
        <v>291</v>
      </c>
      <c r="D414" s="34" t="s">
        <v>324</v>
      </c>
      <c r="E414" s="34"/>
      <c r="F414" s="42">
        <f>F415</f>
        <v>21138744.35</v>
      </c>
      <c r="G414" s="42">
        <f>G415</f>
        <v>-1636688.84</v>
      </c>
      <c r="H414" s="36">
        <f t="shared" si="15"/>
        <v>19502055.51</v>
      </c>
    </row>
    <row r="415" spans="1:8" ht="31.5">
      <c r="A415" s="41" t="s">
        <v>28</v>
      </c>
      <c r="B415" s="32" t="s">
        <v>11</v>
      </c>
      <c r="C415" s="33" t="s">
        <v>291</v>
      </c>
      <c r="D415" s="34" t="s">
        <v>324</v>
      </c>
      <c r="E415" s="34">
        <v>200</v>
      </c>
      <c r="F415" s="42">
        <f>F416</f>
        <v>21138744.35</v>
      </c>
      <c r="G415" s="42">
        <f>G416</f>
        <v>-1636688.84</v>
      </c>
      <c r="H415" s="36">
        <f t="shared" si="15"/>
        <v>19502055.51</v>
      </c>
    </row>
    <row r="416" spans="1:8" ht="31.5">
      <c r="A416" s="41" t="s">
        <v>30</v>
      </c>
      <c r="B416" s="32" t="s">
        <v>11</v>
      </c>
      <c r="C416" s="33" t="s">
        <v>291</v>
      </c>
      <c r="D416" s="34" t="s">
        <v>324</v>
      </c>
      <c r="E416" s="34">
        <v>240</v>
      </c>
      <c r="F416" s="42">
        <f>447851.92+15546859.51+5000000+144032.92</f>
        <v>21138744.35</v>
      </c>
      <c r="G416" s="42">
        <f>-1290932.62-37187.36-299928.93-8639.93</f>
        <v>-1636688.84</v>
      </c>
      <c r="H416" s="36">
        <f t="shared" si="15"/>
        <v>19502055.51</v>
      </c>
    </row>
    <row r="417" spans="1:8" s="39" customFormat="1" ht="15.75">
      <c r="A417" s="31" t="s">
        <v>16</v>
      </c>
      <c r="B417" s="32" t="s">
        <v>11</v>
      </c>
      <c r="C417" s="33" t="s">
        <v>291</v>
      </c>
      <c r="D417" s="34" t="s">
        <v>17</v>
      </c>
      <c r="E417" s="34"/>
      <c r="F417" s="42">
        <f>SUM(F422,F419)</f>
        <v>1185030</v>
      </c>
      <c r="G417" s="42">
        <f>SUM(G422,G421)</f>
        <v>29446465.48</v>
      </c>
      <c r="H417" s="36">
        <f t="shared" si="15"/>
        <v>30631495.48</v>
      </c>
    </row>
    <row r="418" spans="1:8" s="39" customFormat="1" ht="31.5" customHeight="1">
      <c r="A418" s="31" t="s">
        <v>51</v>
      </c>
      <c r="B418" s="32" t="s">
        <v>11</v>
      </c>
      <c r="C418" s="33" t="s">
        <v>291</v>
      </c>
      <c r="D418" s="34" t="s">
        <v>52</v>
      </c>
      <c r="E418" s="34"/>
      <c r="F418" s="42">
        <f aca="true" t="shared" si="16" ref="F418:G420">F419</f>
        <v>0</v>
      </c>
      <c r="G418" s="42">
        <f t="shared" si="16"/>
        <v>30322000</v>
      </c>
      <c r="H418" s="36">
        <f t="shared" si="15"/>
        <v>30322000</v>
      </c>
    </row>
    <row r="419" spans="1:8" s="39" customFormat="1" ht="66.75" customHeight="1">
      <c r="A419" s="31" t="s">
        <v>113</v>
      </c>
      <c r="B419" s="32" t="s">
        <v>11</v>
      </c>
      <c r="C419" s="33" t="s">
        <v>291</v>
      </c>
      <c r="D419" s="34" t="s">
        <v>114</v>
      </c>
      <c r="E419" s="34"/>
      <c r="F419" s="42">
        <f t="shared" si="16"/>
        <v>0</v>
      </c>
      <c r="G419" s="42">
        <f t="shared" si="16"/>
        <v>30322000</v>
      </c>
      <c r="H419" s="36">
        <f t="shared" si="15"/>
        <v>30322000</v>
      </c>
    </row>
    <row r="420" spans="1:8" s="39" customFormat="1" ht="15.75">
      <c r="A420" s="41" t="s">
        <v>36</v>
      </c>
      <c r="B420" s="32" t="s">
        <v>11</v>
      </c>
      <c r="C420" s="33" t="s">
        <v>291</v>
      </c>
      <c r="D420" s="34" t="s">
        <v>114</v>
      </c>
      <c r="E420" s="34">
        <v>800</v>
      </c>
      <c r="F420" s="42">
        <f t="shared" si="16"/>
        <v>0</v>
      </c>
      <c r="G420" s="42">
        <f t="shared" si="16"/>
        <v>30322000</v>
      </c>
      <c r="H420" s="36">
        <f t="shared" si="15"/>
        <v>30322000</v>
      </c>
    </row>
    <row r="421" spans="1:8" s="39" customFormat="1" ht="51" customHeight="1">
      <c r="A421" s="37" t="s">
        <v>161</v>
      </c>
      <c r="B421" s="32" t="s">
        <v>11</v>
      </c>
      <c r="C421" s="33" t="s">
        <v>291</v>
      </c>
      <c r="D421" s="34" t="s">
        <v>114</v>
      </c>
      <c r="E421" s="34">
        <v>810</v>
      </c>
      <c r="F421" s="42">
        <v>0</v>
      </c>
      <c r="G421" s="42">
        <v>30322000</v>
      </c>
      <c r="H421" s="36">
        <f t="shared" si="15"/>
        <v>30322000</v>
      </c>
    </row>
    <row r="422" spans="1:8" s="39" customFormat="1" ht="47.25">
      <c r="A422" s="37" t="s">
        <v>44</v>
      </c>
      <c r="B422" s="32" t="s">
        <v>11</v>
      </c>
      <c r="C422" s="33" t="s">
        <v>291</v>
      </c>
      <c r="D422" s="34" t="s">
        <v>45</v>
      </c>
      <c r="E422" s="34"/>
      <c r="F422" s="38">
        <f aca="true" t="shared" si="17" ref="F422:G424">F423</f>
        <v>1185030</v>
      </c>
      <c r="G422" s="38">
        <f t="shared" si="17"/>
        <v>-875534.52</v>
      </c>
      <c r="H422" s="36">
        <f t="shared" si="15"/>
        <v>309495.48</v>
      </c>
    </row>
    <row r="423" spans="1:8" s="39" customFormat="1" ht="63">
      <c r="A423" s="37" t="s">
        <v>325</v>
      </c>
      <c r="B423" s="32" t="s">
        <v>11</v>
      </c>
      <c r="C423" s="33" t="s">
        <v>291</v>
      </c>
      <c r="D423" s="34" t="s">
        <v>326</v>
      </c>
      <c r="E423" s="34"/>
      <c r="F423" s="42">
        <f t="shared" si="17"/>
        <v>1185030</v>
      </c>
      <c r="G423" s="42">
        <f t="shared" si="17"/>
        <v>-875534.52</v>
      </c>
      <c r="H423" s="36">
        <f t="shared" si="15"/>
        <v>309495.48</v>
      </c>
    </row>
    <row r="424" spans="1:8" s="16" customFormat="1" ht="31.5">
      <c r="A424" s="41" t="s">
        <v>28</v>
      </c>
      <c r="B424" s="32" t="s">
        <v>11</v>
      </c>
      <c r="C424" s="33" t="s">
        <v>291</v>
      </c>
      <c r="D424" s="34" t="s">
        <v>326</v>
      </c>
      <c r="E424" s="34">
        <v>200</v>
      </c>
      <c r="F424" s="42">
        <f t="shared" si="17"/>
        <v>1185030</v>
      </c>
      <c r="G424" s="42">
        <f t="shared" si="17"/>
        <v>-875534.52</v>
      </c>
      <c r="H424" s="36">
        <f t="shared" si="15"/>
        <v>309495.48</v>
      </c>
    </row>
    <row r="425" spans="1:8" s="16" customFormat="1" ht="31.5">
      <c r="A425" s="37" t="s">
        <v>30</v>
      </c>
      <c r="B425" s="32" t="s">
        <v>11</v>
      </c>
      <c r="C425" s="33" t="s">
        <v>291</v>
      </c>
      <c r="D425" s="34" t="s">
        <v>326</v>
      </c>
      <c r="E425" s="34">
        <v>240</v>
      </c>
      <c r="F425" s="42">
        <v>1185030</v>
      </c>
      <c r="G425" s="42">
        <v>-875534.52</v>
      </c>
      <c r="H425" s="36">
        <f t="shared" si="15"/>
        <v>309495.48</v>
      </c>
    </row>
    <row r="426" spans="1:8" s="16" customFormat="1" ht="30.75" customHeight="1">
      <c r="A426" s="58" t="s">
        <v>327</v>
      </c>
      <c r="B426" s="27" t="s">
        <v>11</v>
      </c>
      <c r="C426" s="28" t="s">
        <v>328</v>
      </c>
      <c r="D426" s="44"/>
      <c r="E426" s="44"/>
      <c r="F426" s="59">
        <f aca="true" t="shared" si="18" ref="F426:G429">F427</f>
        <v>0</v>
      </c>
      <c r="G426" s="59">
        <f t="shared" si="18"/>
        <v>125000</v>
      </c>
      <c r="H426" s="30">
        <f t="shared" si="15"/>
        <v>125000</v>
      </c>
    </row>
    <row r="427" spans="1:8" s="16" customFormat="1" ht="47.25">
      <c r="A427" s="37" t="s">
        <v>258</v>
      </c>
      <c r="B427" s="32" t="s">
        <v>11</v>
      </c>
      <c r="C427" s="33" t="s">
        <v>328</v>
      </c>
      <c r="D427" s="34" t="s">
        <v>259</v>
      </c>
      <c r="E427" s="34"/>
      <c r="F427" s="42">
        <f t="shared" si="18"/>
        <v>0</v>
      </c>
      <c r="G427" s="42">
        <f t="shared" si="18"/>
        <v>125000</v>
      </c>
      <c r="H427" s="36">
        <f t="shared" si="15"/>
        <v>125000</v>
      </c>
    </row>
    <row r="428" spans="1:8" s="16" customFormat="1" ht="31.5">
      <c r="A428" s="37" t="s">
        <v>329</v>
      </c>
      <c r="B428" s="32" t="s">
        <v>11</v>
      </c>
      <c r="C428" s="33" t="s">
        <v>328</v>
      </c>
      <c r="D428" s="34" t="s">
        <v>330</v>
      </c>
      <c r="E428" s="34"/>
      <c r="F428" s="42">
        <f t="shared" si="18"/>
        <v>0</v>
      </c>
      <c r="G428" s="42">
        <f t="shared" si="18"/>
        <v>125000</v>
      </c>
      <c r="H428" s="36">
        <f t="shared" si="15"/>
        <v>125000</v>
      </c>
    </row>
    <row r="429" spans="1:8" s="16" customFormat="1" ht="31.5">
      <c r="A429" s="41" t="s">
        <v>28</v>
      </c>
      <c r="B429" s="32" t="s">
        <v>11</v>
      </c>
      <c r="C429" s="33" t="s">
        <v>328</v>
      </c>
      <c r="D429" s="34" t="s">
        <v>330</v>
      </c>
      <c r="E429" s="34">
        <v>200</v>
      </c>
      <c r="F429" s="42">
        <f t="shared" si="18"/>
        <v>0</v>
      </c>
      <c r="G429" s="42">
        <f t="shared" si="18"/>
        <v>125000</v>
      </c>
      <c r="H429" s="36">
        <f t="shared" si="15"/>
        <v>125000</v>
      </c>
    </row>
    <row r="430" spans="1:8" s="16" customFormat="1" ht="31.5">
      <c r="A430" s="37" t="s">
        <v>30</v>
      </c>
      <c r="B430" s="32" t="s">
        <v>11</v>
      </c>
      <c r="C430" s="33" t="s">
        <v>328</v>
      </c>
      <c r="D430" s="34" t="s">
        <v>330</v>
      </c>
      <c r="E430" s="34">
        <v>240</v>
      </c>
      <c r="F430" s="42">
        <v>0</v>
      </c>
      <c r="G430" s="42">
        <f>180000-55000</f>
        <v>125000</v>
      </c>
      <c r="H430" s="36">
        <f t="shared" si="15"/>
        <v>125000</v>
      </c>
    </row>
    <row r="431" spans="1:8" s="39" customFormat="1" ht="15.75">
      <c r="A431" s="23" t="s">
        <v>331</v>
      </c>
      <c r="B431" s="24" t="s">
        <v>11</v>
      </c>
      <c r="C431" s="24" t="s">
        <v>332</v>
      </c>
      <c r="D431" s="50"/>
      <c r="E431" s="50"/>
      <c r="F431" s="55">
        <f>SUM(F432,F438)</f>
        <v>14200000</v>
      </c>
      <c r="G431" s="55">
        <f>SUM(G432,G438)</f>
        <v>-1692969.2000000002</v>
      </c>
      <c r="H431" s="21">
        <f t="shared" si="15"/>
        <v>12507030.8</v>
      </c>
    </row>
    <row r="432" spans="1:8" s="16" customFormat="1" ht="15.75">
      <c r="A432" s="26" t="s">
        <v>333</v>
      </c>
      <c r="B432" s="27" t="s">
        <v>11</v>
      </c>
      <c r="C432" s="28" t="s">
        <v>334</v>
      </c>
      <c r="D432" s="34"/>
      <c r="E432" s="34"/>
      <c r="F432" s="45">
        <f aca="true" t="shared" si="19" ref="F432:G436">F433</f>
        <v>14200000</v>
      </c>
      <c r="G432" s="45">
        <f t="shared" si="19"/>
        <v>-2655133.2</v>
      </c>
      <c r="H432" s="30">
        <f t="shared" si="15"/>
        <v>11544866.8</v>
      </c>
    </row>
    <row r="433" spans="1:8" s="16" customFormat="1" ht="31.5">
      <c r="A433" s="37" t="s">
        <v>335</v>
      </c>
      <c r="B433" s="32" t="s">
        <v>11</v>
      </c>
      <c r="C433" s="33" t="s">
        <v>334</v>
      </c>
      <c r="D433" s="34" t="s">
        <v>336</v>
      </c>
      <c r="E433" s="34"/>
      <c r="F433" s="38">
        <f t="shared" si="19"/>
        <v>14200000</v>
      </c>
      <c r="G433" s="38">
        <f t="shared" si="19"/>
        <v>-2655133.2</v>
      </c>
      <c r="H433" s="36">
        <f t="shared" si="15"/>
        <v>11544866.8</v>
      </c>
    </row>
    <row r="434" spans="1:8" s="16" customFormat="1" ht="31.5">
      <c r="A434" s="51" t="s">
        <v>337</v>
      </c>
      <c r="B434" s="32" t="s">
        <v>11</v>
      </c>
      <c r="C434" s="33" t="s">
        <v>334</v>
      </c>
      <c r="D434" s="34" t="s">
        <v>338</v>
      </c>
      <c r="E434" s="34"/>
      <c r="F434" s="38">
        <f t="shared" si="19"/>
        <v>14200000</v>
      </c>
      <c r="G434" s="38">
        <f t="shared" si="19"/>
        <v>-2655133.2</v>
      </c>
      <c r="H434" s="36">
        <f t="shared" si="15"/>
        <v>11544866.8</v>
      </c>
    </row>
    <row r="435" spans="1:8" s="16" customFormat="1" ht="31.5">
      <c r="A435" s="51" t="s">
        <v>339</v>
      </c>
      <c r="B435" s="32" t="s">
        <v>11</v>
      </c>
      <c r="C435" s="33" t="s">
        <v>334</v>
      </c>
      <c r="D435" s="34" t="s">
        <v>340</v>
      </c>
      <c r="E435" s="34"/>
      <c r="F435" s="38">
        <f t="shared" si="19"/>
        <v>14200000</v>
      </c>
      <c r="G435" s="38">
        <f t="shared" si="19"/>
        <v>-2655133.2</v>
      </c>
      <c r="H435" s="36">
        <f t="shared" si="15"/>
        <v>11544866.8</v>
      </c>
    </row>
    <row r="436" spans="1:8" s="16" customFormat="1" ht="31.5">
      <c r="A436" s="41" t="s">
        <v>28</v>
      </c>
      <c r="B436" s="32" t="s">
        <v>11</v>
      </c>
      <c r="C436" s="33" t="s">
        <v>334</v>
      </c>
      <c r="D436" s="34" t="s">
        <v>340</v>
      </c>
      <c r="E436" s="34">
        <v>200</v>
      </c>
      <c r="F436" s="38">
        <f t="shared" si="19"/>
        <v>14200000</v>
      </c>
      <c r="G436" s="38">
        <f t="shared" si="19"/>
        <v>-2655133.2</v>
      </c>
      <c r="H436" s="36">
        <f t="shared" si="15"/>
        <v>11544866.8</v>
      </c>
    </row>
    <row r="437" spans="1:8" s="16" customFormat="1" ht="31.5">
      <c r="A437" s="41" t="s">
        <v>30</v>
      </c>
      <c r="B437" s="32" t="s">
        <v>11</v>
      </c>
      <c r="C437" s="33" t="s">
        <v>334</v>
      </c>
      <c r="D437" s="34" t="s">
        <v>340</v>
      </c>
      <c r="E437" s="34">
        <v>240</v>
      </c>
      <c r="F437" s="38">
        <v>14200000</v>
      </c>
      <c r="G437" s="38">
        <f>5860000-2000000-509141-600000-683467-150855.22-323999.98-4247670</f>
        <v>-2655133.2</v>
      </c>
      <c r="H437" s="36">
        <f t="shared" si="15"/>
        <v>11544866.8</v>
      </c>
    </row>
    <row r="438" spans="1:8" s="16" customFormat="1" ht="15.75">
      <c r="A438" s="43" t="s">
        <v>341</v>
      </c>
      <c r="B438" s="27" t="s">
        <v>11</v>
      </c>
      <c r="C438" s="28" t="s">
        <v>342</v>
      </c>
      <c r="D438" s="44"/>
      <c r="E438" s="44"/>
      <c r="F438" s="45">
        <f aca="true" t="shared" si="20" ref="F438:G441">F439</f>
        <v>0</v>
      </c>
      <c r="G438" s="45">
        <f t="shared" si="20"/>
        <v>962164</v>
      </c>
      <c r="H438" s="30">
        <f t="shared" si="15"/>
        <v>962164</v>
      </c>
    </row>
    <row r="439" spans="1:8" s="16" customFormat="1" ht="33" customHeight="1">
      <c r="A439" s="41" t="s">
        <v>335</v>
      </c>
      <c r="B439" s="32" t="s">
        <v>11</v>
      </c>
      <c r="C439" s="33" t="s">
        <v>342</v>
      </c>
      <c r="D439" s="34" t="s">
        <v>336</v>
      </c>
      <c r="E439" s="34"/>
      <c r="F439" s="38">
        <f t="shared" si="20"/>
        <v>0</v>
      </c>
      <c r="G439" s="38">
        <f t="shared" si="20"/>
        <v>962164</v>
      </c>
      <c r="H439" s="36">
        <f t="shared" si="15"/>
        <v>962164</v>
      </c>
    </row>
    <row r="440" spans="1:8" s="16" customFormat="1" ht="30.75" customHeight="1">
      <c r="A440" s="41" t="s">
        <v>343</v>
      </c>
      <c r="B440" s="32" t="s">
        <v>11</v>
      </c>
      <c r="C440" s="33" t="s">
        <v>342</v>
      </c>
      <c r="D440" s="34" t="s">
        <v>344</v>
      </c>
      <c r="E440" s="34"/>
      <c r="F440" s="38">
        <f t="shared" si="20"/>
        <v>0</v>
      </c>
      <c r="G440" s="38">
        <f t="shared" si="20"/>
        <v>962164</v>
      </c>
      <c r="H440" s="36">
        <f t="shared" si="15"/>
        <v>962164</v>
      </c>
    </row>
    <row r="441" spans="1:8" s="16" customFormat="1" ht="30" customHeight="1">
      <c r="A441" s="41" t="s">
        <v>345</v>
      </c>
      <c r="B441" s="32" t="s">
        <v>11</v>
      </c>
      <c r="C441" s="33" t="s">
        <v>342</v>
      </c>
      <c r="D441" s="34" t="s">
        <v>346</v>
      </c>
      <c r="E441" s="34"/>
      <c r="F441" s="38">
        <f t="shared" si="20"/>
        <v>0</v>
      </c>
      <c r="G441" s="38">
        <f t="shared" si="20"/>
        <v>962164</v>
      </c>
      <c r="H441" s="36">
        <f t="shared" si="15"/>
        <v>962164</v>
      </c>
    </row>
    <row r="442" spans="1:8" s="16" customFormat="1" ht="36" customHeight="1">
      <c r="A442" s="37" t="s">
        <v>74</v>
      </c>
      <c r="B442" s="32" t="s">
        <v>11</v>
      </c>
      <c r="C442" s="33" t="s">
        <v>342</v>
      </c>
      <c r="D442" s="34" t="s">
        <v>346</v>
      </c>
      <c r="E442" s="34">
        <v>600</v>
      </c>
      <c r="F442" s="38">
        <f>F443+F444</f>
        <v>0</v>
      </c>
      <c r="G442" s="38">
        <f>G443+G444</f>
        <v>962164</v>
      </c>
      <c r="H442" s="36">
        <f t="shared" si="15"/>
        <v>962164</v>
      </c>
    </row>
    <row r="443" spans="1:8" s="16" customFormat="1" ht="15.75">
      <c r="A443" s="37" t="s">
        <v>75</v>
      </c>
      <c r="B443" s="32" t="s">
        <v>11</v>
      </c>
      <c r="C443" s="33" t="s">
        <v>342</v>
      </c>
      <c r="D443" s="34" t="s">
        <v>346</v>
      </c>
      <c r="E443" s="34">
        <v>610</v>
      </c>
      <c r="F443" s="38">
        <v>0</v>
      </c>
      <c r="G443" s="38">
        <f>115360-1120</f>
        <v>114240</v>
      </c>
      <c r="H443" s="36">
        <f t="shared" si="15"/>
        <v>114240</v>
      </c>
    </row>
    <row r="444" spans="1:8" s="16" customFormat="1" ht="15.75">
      <c r="A444" s="37" t="s">
        <v>310</v>
      </c>
      <c r="B444" s="32" t="s">
        <v>11</v>
      </c>
      <c r="C444" s="33" t="s">
        <v>342</v>
      </c>
      <c r="D444" s="34" t="s">
        <v>346</v>
      </c>
      <c r="E444" s="34">
        <v>620</v>
      </c>
      <c r="F444" s="38">
        <v>0</v>
      </c>
      <c r="G444" s="38">
        <f>1311744-341796-122024</f>
        <v>847924</v>
      </c>
      <c r="H444" s="36">
        <f t="shared" si="15"/>
        <v>847924</v>
      </c>
    </row>
    <row r="445" spans="1:8" s="16" customFormat="1" ht="15.75">
      <c r="A445" s="23" t="s">
        <v>347</v>
      </c>
      <c r="B445" s="24" t="s">
        <v>11</v>
      </c>
      <c r="C445" s="24" t="s">
        <v>348</v>
      </c>
      <c r="D445" s="34"/>
      <c r="E445" s="34"/>
      <c r="F445" s="55">
        <f>F446+F452</f>
        <v>35044900</v>
      </c>
      <c r="G445" s="55">
        <f>G446+G452</f>
        <v>-18682846</v>
      </c>
      <c r="H445" s="21">
        <f t="shared" si="15"/>
        <v>16362054</v>
      </c>
    </row>
    <row r="446" spans="1:8" s="16" customFormat="1" ht="15.75">
      <c r="A446" s="26" t="s">
        <v>349</v>
      </c>
      <c r="B446" s="28" t="s">
        <v>11</v>
      </c>
      <c r="C446" s="28" t="s">
        <v>350</v>
      </c>
      <c r="D446" s="34"/>
      <c r="E446" s="34"/>
      <c r="F446" s="45">
        <f aca="true" t="shared" si="21" ref="F446:G450">F447</f>
        <v>35044900</v>
      </c>
      <c r="G446" s="45">
        <f t="shared" si="21"/>
        <v>-25482846</v>
      </c>
      <c r="H446" s="30">
        <f t="shared" si="15"/>
        <v>9562054</v>
      </c>
    </row>
    <row r="447" spans="1:8" s="16" customFormat="1" ht="31.5">
      <c r="A447" s="37" t="s">
        <v>351</v>
      </c>
      <c r="B447" s="33" t="s">
        <v>11</v>
      </c>
      <c r="C447" s="33" t="s">
        <v>350</v>
      </c>
      <c r="D447" s="34" t="s">
        <v>352</v>
      </c>
      <c r="E447" s="34"/>
      <c r="F447" s="38">
        <f t="shared" si="21"/>
        <v>35044900</v>
      </c>
      <c r="G447" s="38">
        <f t="shared" si="21"/>
        <v>-25482846</v>
      </c>
      <c r="H447" s="36">
        <f t="shared" si="15"/>
        <v>9562054</v>
      </c>
    </row>
    <row r="448" spans="1:8" s="16" customFormat="1" ht="38.25" customHeight="1">
      <c r="A448" s="51" t="s">
        <v>353</v>
      </c>
      <c r="B448" s="33" t="s">
        <v>11</v>
      </c>
      <c r="C448" s="33" t="s">
        <v>350</v>
      </c>
      <c r="D448" s="34" t="s">
        <v>354</v>
      </c>
      <c r="E448" s="34"/>
      <c r="F448" s="38">
        <f t="shared" si="21"/>
        <v>35044900</v>
      </c>
      <c r="G448" s="38">
        <f t="shared" si="21"/>
        <v>-25482846</v>
      </c>
      <c r="H448" s="36">
        <f t="shared" si="15"/>
        <v>9562054</v>
      </c>
    </row>
    <row r="449" spans="1:8" s="16" customFormat="1" ht="15.75">
      <c r="A449" s="37" t="s">
        <v>355</v>
      </c>
      <c r="B449" s="33" t="s">
        <v>11</v>
      </c>
      <c r="C449" s="33" t="s">
        <v>350</v>
      </c>
      <c r="D449" s="34" t="s">
        <v>356</v>
      </c>
      <c r="E449" s="34"/>
      <c r="F449" s="38">
        <f t="shared" si="21"/>
        <v>35044900</v>
      </c>
      <c r="G449" s="38">
        <f t="shared" si="21"/>
        <v>-25482846</v>
      </c>
      <c r="H449" s="36">
        <f t="shared" si="15"/>
        <v>9562054</v>
      </c>
    </row>
    <row r="450" spans="1:8" s="16" customFormat="1" ht="31.5">
      <c r="A450" s="37" t="s">
        <v>118</v>
      </c>
      <c r="B450" s="33" t="s">
        <v>11</v>
      </c>
      <c r="C450" s="33" t="s">
        <v>350</v>
      </c>
      <c r="D450" s="34" t="s">
        <v>356</v>
      </c>
      <c r="E450" s="34">
        <v>400</v>
      </c>
      <c r="F450" s="38">
        <f t="shared" si="21"/>
        <v>35044900</v>
      </c>
      <c r="G450" s="38">
        <f t="shared" si="21"/>
        <v>-25482846</v>
      </c>
      <c r="H450" s="36">
        <f t="shared" si="15"/>
        <v>9562054</v>
      </c>
    </row>
    <row r="451" spans="1:8" s="16" customFormat="1" ht="15.75">
      <c r="A451" s="37" t="s">
        <v>119</v>
      </c>
      <c r="B451" s="33" t="s">
        <v>11</v>
      </c>
      <c r="C451" s="33" t="s">
        <v>350</v>
      </c>
      <c r="D451" s="34" t="s">
        <v>356</v>
      </c>
      <c r="E451" s="34">
        <v>410</v>
      </c>
      <c r="F451" s="38">
        <v>35044900</v>
      </c>
      <c r="G451" s="38">
        <f>-7500000-1460346-5110000-4560000-5000-5860000-737500-500000+250000</f>
        <v>-25482846</v>
      </c>
      <c r="H451" s="36">
        <f t="shared" si="15"/>
        <v>9562054</v>
      </c>
    </row>
    <row r="452" spans="1:8" s="16" customFormat="1" ht="15.75">
      <c r="A452" s="58" t="s">
        <v>357</v>
      </c>
      <c r="B452" s="28" t="s">
        <v>11</v>
      </c>
      <c r="C452" s="28" t="s">
        <v>358</v>
      </c>
      <c r="D452" s="44"/>
      <c r="E452" s="44"/>
      <c r="F452" s="45">
        <f aca="true" t="shared" si="22" ref="F452:G456">F453</f>
        <v>0</v>
      </c>
      <c r="G452" s="45">
        <f t="shared" si="22"/>
        <v>6800000</v>
      </c>
      <c r="H452" s="30">
        <f t="shared" si="15"/>
        <v>6800000</v>
      </c>
    </row>
    <row r="453" spans="1:8" s="16" customFormat="1" ht="15.75">
      <c r="A453" s="37" t="s">
        <v>16</v>
      </c>
      <c r="B453" s="33" t="s">
        <v>11</v>
      </c>
      <c r="C453" s="33" t="s">
        <v>358</v>
      </c>
      <c r="D453" s="34" t="s">
        <v>17</v>
      </c>
      <c r="E453" s="34"/>
      <c r="F453" s="38">
        <f t="shared" si="22"/>
        <v>0</v>
      </c>
      <c r="G453" s="38">
        <f t="shared" si="22"/>
        <v>6800000</v>
      </c>
      <c r="H453" s="36">
        <f t="shared" si="15"/>
        <v>6800000</v>
      </c>
    </row>
    <row r="454" spans="1:8" s="16" customFormat="1" ht="36.75" customHeight="1">
      <c r="A454" s="37" t="s">
        <v>51</v>
      </c>
      <c r="B454" s="33" t="s">
        <v>11</v>
      </c>
      <c r="C454" s="33" t="s">
        <v>358</v>
      </c>
      <c r="D454" s="34" t="s">
        <v>52</v>
      </c>
      <c r="E454" s="34"/>
      <c r="F454" s="38">
        <f t="shared" si="22"/>
        <v>0</v>
      </c>
      <c r="G454" s="38">
        <f t="shared" si="22"/>
        <v>6800000</v>
      </c>
      <c r="H454" s="36">
        <f t="shared" si="15"/>
        <v>6800000</v>
      </c>
    </row>
    <row r="455" spans="1:8" s="16" customFormat="1" ht="78.75">
      <c r="A455" s="37" t="s">
        <v>113</v>
      </c>
      <c r="B455" s="33" t="s">
        <v>11</v>
      </c>
      <c r="C455" s="33" t="s">
        <v>358</v>
      </c>
      <c r="D455" s="34" t="s">
        <v>114</v>
      </c>
      <c r="E455" s="34"/>
      <c r="F455" s="38">
        <f t="shared" si="22"/>
        <v>0</v>
      </c>
      <c r="G455" s="38">
        <f t="shared" si="22"/>
        <v>6800000</v>
      </c>
      <c r="H455" s="36">
        <f t="shared" si="15"/>
        <v>6800000</v>
      </c>
    </row>
    <row r="456" spans="1:8" s="16" customFormat="1" ht="15.75">
      <c r="A456" s="41" t="s">
        <v>36</v>
      </c>
      <c r="B456" s="33" t="s">
        <v>11</v>
      </c>
      <c r="C456" s="33" t="s">
        <v>358</v>
      </c>
      <c r="D456" s="34" t="s">
        <v>114</v>
      </c>
      <c r="E456" s="34">
        <v>800</v>
      </c>
      <c r="F456" s="38">
        <f t="shared" si="22"/>
        <v>0</v>
      </c>
      <c r="G456" s="38">
        <f t="shared" si="22"/>
        <v>6800000</v>
      </c>
      <c r="H456" s="36">
        <f t="shared" si="15"/>
        <v>6800000</v>
      </c>
    </row>
    <row r="457" spans="1:8" s="16" customFormat="1" ht="48" customHeight="1">
      <c r="A457" s="37" t="s">
        <v>161</v>
      </c>
      <c r="B457" s="33" t="s">
        <v>11</v>
      </c>
      <c r="C457" s="33" t="s">
        <v>358</v>
      </c>
      <c r="D457" s="34" t="s">
        <v>114</v>
      </c>
      <c r="E457" s="34">
        <v>810</v>
      </c>
      <c r="F457" s="38">
        <v>0</v>
      </c>
      <c r="G457" s="38">
        <f>300000+2400000+1200000+1258869+269538.84+271592.16+1100000</f>
        <v>6800000</v>
      </c>
      <c r="H457" s="36">
        <f t="shared" si="15"/>
        <v>6800000</v>
      </c>
    </row>
    <row r="458" spans="1:8" s="39" customFormat="1" ht="15.75">
      <c r="A458" s="23" t="s">
        <v>359</v>
      </c>
      <c r="B458" s="54" t="s">
        <v>11</v>
      </c>
      <c r="C458" s="24" t="s">
        <v>360</v>
      </c>
      <c r="D458" s="57"/>
      <c r="E458" s="57"/>
      <c r="F458" s="55">
        <f>SUM(F459)</f>
        <v>1000000</v>
      </c>
      <c r="G458" s="55">
        <f>SUM(G459)</f>
        <v>0</v>
      </c>
      <c r="H458" s="21">
        <f t="shared" si="15"/>
        <v>1000000</v>
      </c>
    </row>
    <row r="459" spans="1:8" s="39" customFormat="1" ht="15.75">
      <c r="A459" s="26" t="s">
        <v>361</v>
      </c>
      <c r="B459" s="27" t="s">
        <v>11</v>
      </c>
      <c r="C459" s="28" t="s">
        <v>362</v>
      </c>
      <c r="D459" s="44"/>
      <c r="E459" s="44"/>
      <c r="F459" s="45">
        <f aca="true" t="shared" si="23" ref="F459:G463">F460</f>
        <v>1000000</v>
      </c>
      <c r="G459" s="45">
        <f t="shared" si="23"/>
        <v>0</v>
      </c>
      <c r="H459" s="30">
        <f t="shared" si="15"/>
        <v>1000000</v>
      </c>
    </row>
    <row r="460" spans="1:8" s="39" customFormat="1" ht="31.5">
      <c r="A460" s="37" t="s">
        <v>243</v>
      </c>
      <c r="B460" s="60">
        <v>440</v>
      </c>
      <c r="C460" s="33" t="s">
        <v>362</v>
      </c>
      <c r="D460" s="34" t="s">
        <v>244</v>
      </c>
      <c r="E460" s="34"/>
      <c r="F460" s="38">
        <f t="shared" si="23"/>
        <v>1000000</v>
      </c>
      <c r="G460" s="38">
        <f t="shared" si="23"/>
        <v>0</v>
      </c>
      <c r="H460" s="36">
        <f t="shared" si="15"/>
        <v>1000000</v>
      </c>
    </row>
    <row r="461" spans="1:8" s="39" customFormat="1" ht="47.25">
      <c r="A461" s="37" t="s">
        <v>363</v>
      </c>
      <c r="B461" s="60">
        <v>440</v>
      </c>
      <c r="C461" s="33" t="s">
        <v>362</v>
      </c>
      <c r="D461" s="34" t="s">
        <v>364</v>
      </c>
      <c r="E461" s="34"/>
      <c r="F461" s="38">
        <f t="shared" si="23"/>
        <v>1000000</v>
      </c>
      <c r="G461" s="38">
        <f t="shared" si="23"/>
        <v>0</v>
      </c>
      <c r="H461" s="36">
        <f t="shared" si="15"/>
        <v>1000000</v>
      </c>
    </row>
    <row r="462" spans="1:8" s="39" customFormat="1" ht="31.5">
      <c r="A462" s="37" t="s">
        <v>365</v>
      </c>
      <c r="B462" s="60">
        <v>440</v>
      </c>
      <c r="C462" s="33" t="s">
        <v>362</v>
      </c>
      <c r="D462" s="34" t="s">
        <v>366</v>
      </c>
      <c r="E462" s="34"/>
      <c r="F462" s="38">
        <f t="shared" si="23"/>
        <v>1000000</v>
      </c>
      <c r="G462" s="38">
        <f t="shared" si="23"/>
        <v>0</v>
      </c>
      <c r="H462" s="36">
        <f t="shared" si="15"/>
        <v>1000000</v>
      </c>
    </row>
    <row r="463" spans="1:8" s="39" customFormat="1" ht="31.5">
      <c r="A463" s="41" t="s">
        <v>28</v>
      </c>
      <c r="B463" s="60">
        <v>440</v>
      </c>
      <c r="C463" s="33" t="s">
        <v>362</v>
      </c>
      <c r="D463" s="34" t="s">
        <v>366</v>
      </c>
      <c r="E463" s="34">
        <v>200</v>
      </c>
      <c r="F463" s="38">
        <f t="shared" si="23"/>
        <v>1000000</v>
      </c>
      <c r="G463" s="38">
        <f t="shared" si="23"/>
        <v>0</v>
      </c>
      <c r="H463" s="36">
        <f t="shared" si="15"/>
        <v>1000000</v>
      </c>
    </row>
    <row r="464" spans="1:8" s="39" customFormat="1" ht="31.5">
      <c r="A464" s="41" t="s">
        <v>30</v>
      </c>
      <c r="B464" s="60">
        <v>440</v>
      </c>
      <c r="C464" s="33" t="s">
        <v>362</v>
      </c>
      <c r="D464" s="34" t="s">
        <v>366</v>
      </c>
      <c r="E464" s="34">
        <v>240</v>
      </c>
      <c r="F464" s="42">
        <v>1000000</v>
      </c>
      <c r="G464" s="42">
        <v>0</v>
      </c>
      <c r="H464" s="36">
        <f t="shared" si="15"/>
        <v>1000000</v>
      </c>
    </row>
    <row r="465" spans="1:8" s="16" customFormat="1" ht="15.75">
      <c r="A465" s="23" t="s">
        <v>367</v>
      </c>
      <c r="B465" s="24" t="s">
        <v>11</v>
      </c>
      <c r="C465" s="24" t="s">
        <v>368</v>
      </c>
      <c r="D465" s="34"/>
      <c r="E465" s="34"/>
      <c r="F465" s="55">
        <f>SUM(F493,F466)</f>
        <v>141769149</v>
      </c>
      <c r="G465" s="55">
        <f>SUM(G493,G466)</f>
        <v>50184022.9</v>
      </c>
      <c r="H465" s="21">
        <f t="shared" si="15"/>
        <v>191953171.9</v>
      </c>
    </row>
    <row r="466" spans="1:8" s="16" customFormat="1" ht="15.75">
      <c r="A466" s="26" t="s">
        <v>369</v>
      </c>
      <c r="B466" s="28" t="s">
        <v>11</v>
      </c>
      <c r="C466" s="28" t="s">
        <v>370</v>
      </c>
      <c r="D466" s="34"/>
      <c r="E466" s="34"/>
      <c r="F466" s="45">
        <f>F467+F488</f>
        <v>129769149</v>
      </c>
      <c r="G466" s="45">
        <f>G467+G488</f>
        <v>50184022.9</v>
      </c>
      <c r="H466" s="30">
        <f t="shared" si="15"/>
        <v>179953171.9</v>
      </c>
    </row>
    <row r="467" spans="1:8" s="16" customFormat="1" ht="31.5">
      <c r="A467" s="37" t="s">
        <v>371</v>
      </c>
      <c r="B467" s="33" t="s">
        <v>11</v>
      </c>
      <c r="C467" s="33" t="s">
        <v>370</v>
      </c>
      <c r="D467" s="34" t="s">
        <v>372</v>
      </c>
      <c r="E467" s="34"/>
      <c r="F467" s="38">
        <f>SUM(F468,F471,F480,F484,F474,F477)</f>
        <v>129769149</v>
      </c>
      <c r="G467" s="38">
        <f>SUM(G468,G471,G480,G484,G474,G477)</f>
        <v>49984022.9</v>
      </c>
      <c r="H467" s="36">
        <f t="shared" si="15"/>
        <v>179753171.9</v>
      </c>
    </row>
    <row r="468" spans="1:8" s="39" customFormat="1" ht="31.5">
      <c r="A468" s="61" t="s">
        <v>373</v>
      </c>
      <c r="B468" s="32" t="s">
        <v>11</v>
      </c>
      <c r="C468" s="33" t="s">
        <v>370</v>
      </c>
      <c r="D468" s="34" t="s">
        <v>374</v>
      </c>
      <c r="E468" s="34"/>
      <c r="F468" s="38">
        <f>F469</f>
        <v>2500000</v>
      </c>
      <c r="G468" s="38">
        <f>G469</f>
        <v>1067000</v>
      </c>
      <c r="H468" s="36">
        <f t="shared" si="15"/>
        <v>3567000</v>
      </c>
    </row>
    <row r="469" spans="1:8" s="16" customFormat="1" ht="31.5">
      <c r="A469" s="37" t="s">
        <v>74</v>
      </c>
      <c r="B469" s="32" t="s">
        <v>11</v>
      </c>
      <c r="C469" s="33" t="s">
        <v>370</v>
      </c>
      <c r="D469" s="34" t="s">
        <v>374</v>
      </c>
      <c r="E469" s="34">
        <v>600</v>
      </c>
      <c r="F469" s="38">
        <f>F470</f>
        <v>2500000</v>
      </c>
      <c r="G469" s="38">
        <f>G470</f>
        <v>1067000</v>
      </c>
      <c r="H469" s="36">
        <f t="shared" si="15"/>
        <v>3567000</v>
      </c>
    </row>
    <row r="470" spans="1:8" s="16" customFormat="1" ht="15.75">
      <c r="A470" s="37" t="s">
        <v>310</v>
      </c>
      <c r="B470" s="32" t="s">
        <v>11</v>
      </c>
      <c r="C470" s="33" t="s">
        <v>370</v>
      </c>
      <c r="D470" s="34" t="s">
        <v>374</v>
      </c>
      <c r="E470" s="34">
        <v>620</v>
      </c>
      <c r="F470" s="38">
        <v>2500000</v>
      </c>
      <c r="G470" s="38">
        <f>687000+250000+130000</f>
        <v>1067000</v>
      </c>
      <c r="H470" s="36">
        <f t="shared" si="15"/>
        <v>3567000</v>
      </c>
    </row>
    <row r="471" spans="1:8" s="39" customFormat="1" ht="47.25">
      <c r="A471" s="37" t="s">
        <v>375</v>
      </c>
      <c r="B471" s="33" t="s">
        <v>11</v>
      </c>
      <c r="C471" s="33" t="s">
        <v>370</v>
      </c>
      <c r="D471" s="34" t="s">
        <v>376</v>
      </c>
      <c r="E471" s="34"/>
      <c r="F471" s="38">
        <f>F472</f>
        <v>30500000</v>
      </c>
      <c r="G471" s="38">
        <f>G472</f>
        <v>-3155000</v>
      </c>
      <c r="H471" s="36">
        <f t="shared" si="15"/>
        <v>27345000</v>
      </c>
    </row>
    <row r="472" spans="1:8" ht="15.75">
      <c r="A472" s="37" t="s">
        <v>36</v>
      </c>
      <c r="B472" s="33" t="s">
        <v>11</v>
      </c>
      <c r="C472" s="33" t="s">
        <v>370</v>
      </c>
      <c r="D472" s="34" t="s">
        <v>376</v>
      </c>
      <c r="E472" s="34">
        <v>800</v>
      </c>
      <c r="F472" s="38">
        <f>F473</f>
        <v>30500000</v>
      </c>
      <c r="G472" s="38">
        <f>G473</f>
        <v>-3155000</v>
      </c>
      <c r="H472" s="36">
        <f t="shared" si="15"/>
        <v>27345000</v>
      </c>
    </row>
    <row r="473" spans="1:8" ht="63">
      <c r="A473" s="37" t="s">
        <v>161</v>
      </c>
      <c r="B473" s="33" t="s">
        <v>11</v>
      </c>
      <c r="C473" s="33" t="s">
        <v>370</v>
      </c>
      <c r="D473" s="34" t="s">
        <v>376</v>
      </c>
      <c r="E473" s="34">
        <v>810</v>
      </c>
      <c r="F473" s="38">
        <v>30500000</v>
      </c>
      <c r="G473" s="38">
        <f>-3000000-155000</f>
        <v>-3155000</v>
      </c>
      <c r="H473" s="36">
        <f t="shared" si="15"/>
        <v>27345000</v>
      </c>
    </row>
    <row r="474" spans="1:8" ht="78.75">
      <c r="A474" s="37" t="s">
        <v>377</v>
      </c>
      <c r="B474" s="33" t="s">
        <v>11</v>
      </c>
      <c r="C474" s="33" t="s">
        <v>370</v>
      </c>
      <c r="D474" s="34" t="s">
        <v>378</v>
      </c>
      <c r="E474" s="34"/>
      <c r="F474" s="38">
        <f>F475</f>
        <v>0</v>
      </c>
      <c r="G474" s="38">
        <f>G475</f>
        <v>23362343.9</v>
      </c>
      <c r="H474" s="36">
        <f t="shared" si="15"/>
        <v>23362343.9</v>
      </c>
    </row>
    <row r="475" spans="1:8" ht="31.5">
      <c r="A475" s="37" t="s">
        <v>74</v>
      </c>
      <c r="B475" s="33" t="s">
        <v>11</v>
      </c>
      <c r="C475" s="33" t="s">
        <v>370</v>
      </c>
      <c r="D475" s="34" t="s">
        <v>378</v>
      </c>
      <c r="E475" s="34">
        <v>600</v>
      </c>
      <c r="F475" s="38">
        <f>F476</f>
        <v>0</v>
      </c>
      <c r="G475" s="38">
        <f>G476</f>
        <v>23362343.9</v>
      </c>
      <c r="H475" s="36">
        <f aca="true" t="shared" si="24" ref="H475:H538">SUM(F475:G475)</f>
        <v>23362343.9</v>
      </c>
    </row>
    <row r="476" spans="1:8" ht="15.75">
      <c r="A476" s="37" t="s">
        <v>75</v>
      </c>
      <c r="B476" s="33" t="s">
        <v>11</v>
      </c>
      <c r="C476" s="33" t="s">
        <v>370</v>
      </c>
      <c r="D476" s="34" t="s">
        <v>378</v>
      </c>
      <c r="E476" s="34">
        <v>610</v>
      </c>
      <c r="F476" s="38">
        <v>0</v>
      </c>
      <c r="G476" s="38">
        <f>25150087.95-1787744.05</f>
        <v>23362343.9</v>
      </c>
      <c r="H476" s="36">
        <f t="shared" si="24"/>
        <v>23362343.9</v>
      </c>
    </row>
    <row r="477" spans="1:8" ht="94.5">
      <c r="A477" s="37" t="s">
        <v>379</v>
      </c>
      <c r="B477" s="33" t="s">
        <v>11</v>
      </c>
      <c r="C477" s="33" t="s">
        <v>370</v>
      </c>
      <c r="D477" s="34" t="s">
        <v>380</v>
      </c>
      <c r="E477" s="34"/>
      <c r="F477" s="38">
        <f>F478</f>
        <v>0</v>
      </c>
      <c r="G477" s="38">
        <f>G478</f>
        <v>732600</v>
      </c>
      <c r="H477" s="36">
        <f t="shared" si="24"/>
        <v>732600</v>
      </c>
    </row>
    <row r="478" spans="1:8" ht="31.5">
      <c r="A478" s="37" t="s">
        <v>74</v>
      </c>
      <c r="B478" s="33" t="s">
        <v>11</v>
      </c>
      <c r="C478" s="33" t="s">
        <v>370</v>
      </c>
      <c r="D478" s="34" t="s">
        <v>380</v>
      </c>
      <c r="E478" s="34">
        <v>600</v>
      </c>
      <c r="F478" s="38">
        <f>F479</f>
        <v>0</v>
      </c>
      <c r="G478" s="38">
        <f>G479</f>
        <v>732600</v>
      </c>
      <c r="H478" s="36">
        <f t="shared" si="24"/>
        <v>732600</v>
      </c>
    </row>
    <row r="479" spans="1:8" ht="15.75">
      <c r="A479" s="37" t="s">
        <v>310</v>
      </c>
      <c r="B479" s="33" t="s">
        <v>11</v>
      </c>
      <c r="C479" s="33" t="s">
        <v>370</v>
      </c>
      <c r="D479" s="34" t="s">
        <v>380</v>
      </c>
      <c r="E479" s="34">
        <v>620</v>
      </c>
      <c r="F479" s="38">
        <v>0</v>
      </c>
      <c r="G479" s="38">
        <v>732600</v>
      </c>
      <c r="H479" s="36">
        <f t="shared" si="24"/>
        <v>732600</v>
      </c>
    </row>
    <row r="480" spans="1:8" s="62" customFormat="1" ht="31.5">
      <c r="A480" s="37" t="s">
        <v>381</v>
      </c>
      <c r="B480" s="33" t="s">
        <v>11</v>
      </c>
      <c r="C480" s="33" t="s">
        <v>370</v>
      </c>
      <c r="D480" s="34" t="s">
        <v>382</v>
      </c>
      <c r="E480" s="34"/>
      <c r="F480" s="38">
        <f>F481</f>
        <v>92300000</v>
      </c>
      <c r="G480" s="38">
        <f>G481</f>
        <v>28201209</v>
      </c>
      <c r="H480" s="36">
        <f t="shared" si="24"/>
        <v>120501209</v>
      </c>
    </row>
    <row r="481" spans="1:8" s="62" customFormat="1" ht="31.5">
      <c r="A481" s="37" t="s">
        <v>74</v>
      </c>
      <c r="B481" s="33" t="s">
        <v>11</v>
      </c>
      <c r="C481" s="33" t="s">
        <v>370</v>
      </c>
      <c r="D481" s="34" t="s">
        <v>382</v>
      </c>
      <c r="E481" s="34">
        <v>600</v>
      </c>
      <c r="F481" s="38">
        <f>SUM(F482,F483)</f>
        <v>92300000</v>
      </c>
      <c r="G481" s="38">
        <f>SUM(G482,G483)</f>
        <v>28201209</v>
      </c>
      <c r="H481" s="36">
        <f t="shared" si="24"/>
        <v>120501209</v>
      </c>
    </row>
    <row r="482" spans="1:8" ht="15.75">
      <c r="A482" s="37" t="s">
        <v>75</v>
      </c>
      <c r="B482" s="33" t="s">
        <v>11</v>
      </c>
      <c r="C482" s="33" t="s">
        <v>370</v>
      </c>
      <c r="D482" s="34" t="s">
        <v>382</v>
      </c>
      <c r="E482" s="34">
        <v>610</v>
      </c>
      <c r="F482" s="38">
        <v>28000000</v>
      </c>
      <c r="G482" s="38">
        <v>22413</v>
      </c>
      <c r="H482" s="36">
        <f t="shared" si="24"/>
        <v>28022413</v>
      </c>
    </row>
    <row r="483" spans="1:8" s="62" customFormat="1" ht="15.75">
      <c r="A483" s="37" t="s">
        <v>310</v>
      </c>
      <c r="B483" s="33" t="s">
        <v>11</v>
      </c>
      <c r="C483" s="33" t="s">
        <v>370</v>
      </c>
      <c r="D483" s="34" t="s">
        <v>382</v>
      </c>
      <c r="E483" s="34">
        <v>620</v>
      </c>
      <c r="F483" s="38">
        <v>64300000</v>
      </c>
      <c r="G483" s="38">
        <f>11300000+341796+14000000+155000+200000+2000000-250000+250000+182000</f>
        <v>28178796</v>
      </c>
      <c r="H483" s="36">
        <f t="shared" si="24"/>
        <v>92478796</v>
      </c>
    </row>
    <row r="484" spans="1:8" s="62" customFormat="1" ht="141.75">
      <c r="A484" s="63" t="s">
        <v>383</v>
      </c>
      <c r="B484" s="33" t="s">
        <v>11</v>
      </c>
      <c r="C484" s="33" t="s">
        <v>370</v>
      </c>
      <c r="D484" s="34" t="s">
        <v>384</v>
      </c>
      <c r="E484" s="34"/>
      <c r="F484" s="38">
        <f>F485</f>
        <v>4469149</v>
      </c>
      <c r="G484" s="38">
        <f>G485</f>
        <v>-224130</v>
      </c>
      <c r="H484" s="36">
        <f t="shared" si="24"/>
        <v>4245019</v>
      </c>
    </row>
    <row r="485" spans="1:8" s="62" customFormat="1" ht="31.5">
      <c r="A485" s="37" t="s">
        <v>74</v>
      </c>
      <c r="B485" s="33" t="s">
        <v>11</v>
      </c>
      <c r="C485" s="33" t="s">
        <v>370</v>
      </c>
      <c r="D485" s="34" t="s">
        <v>384</v>
      </c>
      <c r="E485" s="34">
        <v>600</v>
      </c>
      <c r="F485" s="38">
        <f>SUM(F486:F487)</f>
        <v>4469149</v>
      </c>
      <c r="G485" s="38">
        <f>SUM(G486:G487)</f>
        <v>-224130</v>
      </c>
      <c r="H485" s="36">
        <f t="shared" si="24"/>
        <v>4245019</v>
      </c>
    </row>
    <row r="486" spans="1:8" s="62" customFormat="1" ht="15.75">
      <c r="A486" s="37" t="s">
        <v>75</v>
      </c>
      <c r="B486" s="33" t="s">
        <v>11</v>
      </c>
      <c r="C486" s="33" t="s">
        <v>370</v>
      </c>
      <c r="D486" s="34" t="s">
        <v>384</v>
      </c>
      <c r="E486" s="34">
        <v>610</v>
      </c>
      <c r="F486" s="38">
        <f>200000+1800000</f>
        <v>2000000</v>
      </c>
      <c r="G486" s="38">
        <f>-201717-22413</f>
        <v>-224130</v>
      </c>
      <c r="H486" s="36">
        <f t="shared" si="24"/>
        <v>1775870</v>
      </c>
    </row>
    <row r="487" spans="1:8" s="62" customFormat="1" ht="15.75">
      <c r="A487" s="37" t="s">
        <v>310</v>
      </c>
      <c r="B487" s="33" t="s">
        <v>11</v>
      </c>
      <c r="C487" s="33" t="s">
        <v>370</v>
      </c>
      <c r="D487" s="34" t="s">
        <v>384</v>
      </c>
      <c r="E487" s="34">
        <v>620</v>
      </c>
      <c r="F487" s="38">
        <f>246915+2222234</f>
        <v>2469149</v>
      </c>
      <c r="G487" s="38">
        <v>0</v>
      </c>
      <c r="H487" s="36">
        <f t="shared" si="24"/>
        <v>2469149</v>
      </c>
    </row>
    <row r="488" spans="1:8" s="62" customFormat="1" ht="15.75">
      <c r="A488" s="31" t="s">
        <v>16</v>
      </c>
      <c r="B488" s="32" t="s">
        <v>11</v>
      </c>
      <c r="C488" s="33" t="s">
        <v>370</v>
      </c>
      <c r="D488" s="34" t="s">
        <v>17</v>
      </c>
      <c r="E488" s="34"/>
      <c r="F488" s="38">
        <f aca="true" t="shared" si="25" ref="F488:G491">F489</f>
        <v>0</v>
      </c>
      <c r="G488" s="38">
        <f t="shared" si="25"/>
        <v>200000</v>
      </c>
      <c r="H488" s="36">
        <f t="shared" si="24"/>
        <v>200000</v>
      </c>
    </row>
    <row r="489" spans="1:8" s="62" customFormat="1" ht="47.25">
      <c r="A489" s="37" t="s">
        <v>51</v>
      </c>
      <c r="B489" s="32" t="s">
        <v>11</v>
      </c>
      <c r="C489" s="33" t="s">
        <v>370</v>
      </c>
      <c r="D489" s="34" t="s">
        <v>52</v>
      </c>
      <c r="E489" s="34"/>
      <c r="F489" s="38">
        <f t="shared" si="25"/>
        <v>0</v>
      </c>
      <c r="G489" s="38">
        <f t="shared" si="25"/>
        <v>200000</v>
      </c>
      <c r="H489" s="36">
        <f t="shared" si="24"/>
        <v>200000</v>
      </c>
    </row>
    <row r="490" spans="1:8" s="62" customFormat="1" ht="47.25">
      <c r="A490" s="37" t="s">
        <v>385</v>
      </c>
      <c r="B490" s="32" t="s">
        <v>11</v>
      </c>
      <c r="C490" s="33" t="s">
        <v>370</v>
      </c>
      <c r="D490" s="34" t="s">
        <v>386</v>
      </c>
      <c r="E490" s="34"/>
      <c r="F490" s="38">
        <f t="shared" si="25"/>
        <v>0</v>
      </c>
      <c r="G490" s="38">
        <f t="shared" si="25"/>
        <v>200000</v>
      </c>
      <c r="H490" s="36">
        <f t="shared" si="24"/>
        <v>200000</v>
      </c>
    </row>
    <row r="491" spans="1:8" s="62" customFormat="1" ht="15.75">
      <c r="A491" s="41" t="s">
        <v>36</v>
      </c>
      <c r="B491" s="32" t="s">
        <v>11</v>
      </c>
      <c r="C491" s="33" t="s">
        <v>370</v>
      </c>
      <c r="D491" s="34" t="s">
        <v>386</v>
      </c>
      <c r="E491" s="34">
        <v>800</v>
      </c>
      <c r="F491" s="38">
        <f t="shared" si="25"/>
        <v>0</v>
      </c>
      <c r="G491" s="38">
        <f t="shared" si="25"/>
        <v>200000</v>
      </c>
      <c r="H491" s="36">
        <f t="shared" si="24"/>
        <v>200000</v>
      </c>
    </row>
    <row r="492" spans="1:8" s="62" customFormat="1" ht="15.75">
      <c r="A492" s="41" t="s">
        <v>38</v>
      </c>
      <c r="B492" s="32" t="s">
        <v>11</v>
      </c>
      <c r="C492" s="33" t="s">
        <v>370</v>
      </c>
      <c r="D492" s="34" t="s">
        <v>386</v>
      </c>
      <c r="E492" s="34">
        <v>850</v>
      </c>
      <c r="F492" s="38"/>
      <c r="G492" s="38">
        <v>200000</v>
      </c>
      <c r="H492" s="36">
        <f t="shared" si="24"/>
        <v>200000</v>
      </c>
    </row>
    <row r="493" spans="1:8" ht="15.75">
      <c r="A493" s="26" t="s">
        <v>387</v>
      </c>
      <c r="B493" s="28" t="s">
        <v>11</v>
      </c>
      <c r="C493" s="28" t="s">
        <v>388</v>
      </c>
      <c r="D493" s="34"/>
      <c r="E493" s="34"/>
      <c r="F493" s="45">
        <f aca="true" t="shared" si="26" ref="F493:G496">F494</f>
        <v>12000000</v>
      </c>
      <c r="G493" s="45">
        <f t="shared" si="26"/>
        <v>0</v>
      </c>
      <c r="H493" s="30">
        <f t="shared" si="24"/>
        <v>12000000</v>
      </c>
    </row>
    <row r="494" spans="1:8" ht="31.5">
      <c r="A494" s="37" t="s">
        <v>371</v>
      </c>
      <c r="B494" s="33" t="s">
        <v>11</v>
      </c>
      <c r="C494" s="33" t="s">
        <v>388</v>
      </c>
      <c r="D494" s="34" t="s">
        <v>372</v>
      </c>
      <c r="E494" s="34"/>
      <c r="F494" s="38">
        <f t="shared" si="26"/>
        <v>12000000</v>
      </c>
      <c r="G494" s="38">
        <f t="shared" si="26"/>
        <v>0</v>
      </c>
      <c r="H494" s="36">
        <f t="shared" si="24"/>
        <v>12000000</v>
      </c>
    </row>
    <row r="495" spans="1:8" ht="31.5">
      <c r="A495" s="37" t="s">
        <v>389</v>
      </c>
      <c r="B495" s="33" t="s">
        <v>11</v>
      </c>
      <c r="C495" s="33" t="s">
        <v>388</v>
      </c>
      <c r="D495" s="34" t="s">
        <v>390</v>
      </c>
      <c r="E495" s="34"/>
      <c r="F495" s="38">
        <f t="shared" si="26"/>
        <v>12000000</v>
      </c>
      <c r="G495" s="38">
        <f t="shared" si="26"/>
        <v>0</v>
      </c>
      <c r="H495" s="36">
        <f t="shared" si="24"/>
        <v>12000000</v>
      </c>
    </row>
    <row r="496" spans="1:8" s="62" customFormat="1" ht="15.75">
      <c r="A496" s="37" t="s">
        <v>36</v>
      </c>
      <c r="B496" s="33" t="s">
        <v>11</v>
      </c>
      <c r="C496" s="33" t="s">
        <v>388</v>
      </c>
      <c r="D496" s="34" t="s">
        <v>390</v>
      </c>
      <c r="E496" s="34">
        <v>800</v>
      </c>
      <c r="F496" s="38">
        <f t="shared" si="26"/>
        <v>12000000</v>
      </c>
      <c r="G496" s="38">
        <f t="shared" si="26"/>
        <v>0</v>
      </c>
      <c r="H496" s="36">
        <f t="shared" si="24"/>
        <v>12000000</v>
      </c>
    </row>
    <row r="497" spans="1:8" s="62" customFormat="1" ht="63">
      <c r="A497" s="37" t="s">
        <v>161</v>
      </c>
      <c r="B497" s="33" t="s">
        <v>11</v>
      </c>
      <c r="C497" s="33" t="s">
        <v>388</v>
      </c>
      <c r="D497" s="34" t="s">
        <v>390</v>
      </c>
      <c r="E497" s="34">
        <v>810</v>
      </c>
      <c r="F497" s="38">
        <v>12000000</v>
      </c>
      <c r="G497" s="38">
        <v>0</v>
      </c>
      <c r="H497" s="36">
        <f t="shared" si="24"/>
        <v>12000000</v>
      </c>
    </row>
    <row r="498" spans="1:8" ht="15.75">
      <c r="A498" s="23" t="s">
        <v>391</v>
      </c>
      <c r="B498" s="54" t="s">
        <v>11</v>
      </c>
      <c r="C498" s="24" t="s">
        <v>392</v>
      </c>
      <c r="D498" s="34"/>
      <c r="E498" s="34"/>
      <c r="F498" s="55">
        <f>SUM(F505,F499)</f>
        <v>3050000</v>
      </c>
      <c r="G498" s="55">
        <f>SUM(G505,G499)</f>
        <v>737500</v>
      </c>
      <c r="H498" s="21">
        <f t="shared" si="24"/>
        <v>3787500</v>
      </c>
    </row>
    <row r="499" spans="1:8" ht="15.75">
      <c r="A499" s="26" t="s">
        <v>393</v>
      </c>
      <c r="B499" s="27" t="s">
        <v>11</v>
      </c>
      <c r="C499" s="28" t="s">
        <v>394</v>
      </c>
      <c r="D499" s="34"/>
      <c r="E499" s="34"/>
      <c r="F499" s="45">
        <f aca="true" t="shared" si="27" ref="F499:G503">F500</f>
        <v>2550000</v>
      </c>
      <c r="G499" s="45">
        <f t="shared" si="27"/>
        <v>637500</v>
      </c>
      <c r="H499" s="30">
        <f t="shared" si="24"/>
        <v>3187500</v>
      </c>
    </row>
    <row r="500" spans="1:8" s="62" customFormat="1" ht="15.75">
      <c r="A500" s="31" t="s">
        <v>16</v>
      </c>
      <c r="B500" s="32" t="s">
        <v>11</v>
      </c>
      <c r="C500" s="33" t="s">
        <v>394</v>
      </c>
      <c r="D500" s="34" t="s">
        <v>17</v>
      </c>
      <c r="E500" s="34"/>
      <c r="F500" s="38">
        <f t="shared" si="27"/>
        <v>2550000</v>
      </c>
      <c r="G500" s="38">
        <f t="shared" si="27"/>
        <v>637500</v>
      </c>
      <c r="H500" s="36">
        <f t="shared" si="24"/>
        <v>3187500</v>
      </c>
    </row>
    <row r="501" spans="1:8" s="62" customFormat="1" ht="47.25">
      <c r="A501" s="37" t="s">
        <v>51</v>
      </c>
      <c r="B501" s="32" t="s">
        <v>11</v>
      </c>
      <c r="C501" s="33" t="s">
        <v>394</v>
      </c>
      <c r="D501" s="34" t="s">
        <v>52</v>
      </c>
      <c r="E501" s="34"/>
      <c r="F501" s="38">
        <f t="shared" si="27"/>
        <v>2550000</v>
      </c>
      <c r="G501" s="38">
        <f t="shared" si="27"/>
        <v>637500</v>
      </c>
      <c r="H501" s="36">
        <f t="shared" si="24"/>
        <v>3187500</v>
      </c>
    </row>
    <row r="502" spans="1:8" s="62" customFormat="1" ht="47.25">
      <c r="A502" s="37" t="s">
        <v>395</v>
      </c>
      <c r="B502" s="32" t="s">
        <v>11</v>
      </c>
      <c r="C502" s="33" t="s">
        <v>394</v>
      </c>
      <c r="D502" s="34" t="s">
        <v>396</v>
      </c>
      <c r="E502" s="34"/>
      <c r="F502" s="38">
        <f t="shared" si="27"/>
        <v>2550000</v>
      </c>
      <c r="G502" s="38">
        <f t="shared" si="27"/>
        <v>637500</v>
      </c>
      <c r="H502" s="36">
        <f t="shared" si="24"/>
        <v>3187500</v>
      </c>
    </row>
    <row r="503" spans="1:8" s="62" customFormat="1" ht="31.5">
      <c r="A503" s="41" t="s">
        <v>28</v>
      </c>
      <c r="B503" s="32" t="s">
        <v>11</v>
      </c>
      <c r="C503" s="33" t="s">
        <v>394</v>
      </c>
      <c r="D503" s="34" t="s">
        <v>396</v>
      </c>
      <c r="E503" s="34">
        <v>200</v>
      </c>
      <c r="F503" s="38">
        <f t="shared" si="27"/>
        <v>2550000</v>
      </c>
      <c r="G503" s="38">
        <f t="shared" si="27"/>
        <v>637500</v>
      </c>
      <c r="H503" s="36">
        <f t="shared" si="24"/>
        <v>3187500</v>
      </c>
    </row>
    <row r="504" spans="1:8" s="62" customFormat="1" ht="31.5">
      <c r="A504" s="41" t="s">
        <v>30</v>
      </c>
      <c r="B504" s="32" t="s">
        <v>11</v>
      </c>
      <c r="C504" s="33" t="s">
        <v>394</v>
      </c>
      <c r="D504" s="34" t="s">
        <v>396</v>
      </c>
      <c r="E504" s="34">
        <v>240</v>
      </c>
      <c r="F504" s="38">
        <v>2550000</v>
      </c>
      <c r="G504" s="38">
        <v>637500</v>
      </c>
      <c r="H504" s="36">
        <f t="shared" si="24"/>
        <v>3187500</v>
      </c>
    </row>
    <row r="505" spans="1:8" ht="15.75">
      <c r="A505" s="26" t="s">
        <v>397</v>
      </c>
      <c r="B505" s="27" t="s">
        <v>11</v>
      </c>
      <c r="C505" s="28" t="s">
        <v>398</v>
      </c>
      <c r="D505" s="34"/>
      <c r="E505" s="34"/>
      <c r="F505" s="45">
        <f aca="true" t="shared" si="28" ref="F505:G509">F506</f>
        <v>500000</v>
      </c>
      <c r="G505" s="45">
        <f t="shared" si="28"/>
        <v>100000</v>
      </c>
      <c r="H505" s="30">
        <f t="shared" si="24"/>
        <v>600000</v>
      </c>
    </row>
    <row r="506" spans="1:8" ht="15.75">
      <c r="A506" s="31" t="s">
        <v>16</v>
      </c>
      <c r="B506" s="32" t="s">
        <v>11</v>
      </c>
      <c r="C506" s="33" t="s">
        <v>398</v>
      </c>
      <c r="D506" s="34" t="s">
        <v>17</v>
      </c>
      <c r="E506" s="34"/>
      <c r="F506" s="38">
        <f t="shared" si="28"/>
        <v>500000</v>
      </c>
      <c r="G506" s="38">
        <f t="shared" si="28"/>
        <v>100000</v>
      </c>
      <c r="H506" s="36">
        <f t="shared" si="24"/>
        <v>600000</v>
      </c>
    </row>
    <row r="507" spans="1:8" ht="47.25">
      <c r="A507" s="37" t="s">
        <v>51</v>
      </c>
      <c r="B507" s="32" t="s">
        <v>11</v>
      </c>
      <c r="C507" s="33" t="s">
        <v>398</v>
      </c>
      <c r="D507" s="34" t="s">
        <v>52</v>
      </c>
      <c r="E507" s="34"/>
      <c r="F507" s="38">
        <f t="shared" si="28"/>
        <v>500000</v>
      </c>
      <c r="G507" s="38">
        <f t="shared" si="28"/>
        <v>100000</v>
      </c>
      <c r="H507" s="36">
        <f t="shared" si="24"/>
        <v>600000</v>
      </c>
    </row>
    <row r="508" spans="1:8" ht="47.25">
      <c r="A508" s="37" t="s">
        <v>395</v>
      </c>
      <c r="B508" s="32" t="s">
        <v>11</v>
      </c>
      <c r="C508" s="33" t="s">
        <v>398</v>
      </c>
      <c r="D508" s="34" t="s">
        <v>396</v>
      </c>
      <c r="E508" s="34"/>
      <c r="F508" s="38">
        <f t="shared" si="28"/>
        <v>500000</v>
      </c>
      <c r="G508" s="38">
        <f t="shared" si="28"/>
        <v>100000</v>
      </c>
      <c r="H508" s="36">
        <f t="shared" si="24"/>
        <v>600000</v>
      </c>
    </row>
    <row r="509" spans="1:8" ht="31.5">
      <c r="A509" s="41" t="s">
        <v>28</v>
      </c>
      <c r="B509" s="32" t="s">
        <v>11</v>
      </c>
      <c r="C509" s="33" t="s">
        <v>398</v>
      </c>
      <c r="D509" s="34" t="s">
        <v>396</v>
      </c>
      <c r="E509" s="34">
        <v>200</v>
      </c>
      <c r="F509" s="38">
        <f t="shared" si="28"/>
        <v>500000</v>
      </c>
      <c r="G509" s="38">
        <f t="shared" si="28"/>
        <v>100000</v>
      </c>
      <c r="H509" s="36">
        <f t="shared" si="24"/>
        <v>600000</v>
      </c>
    </row>
    <row r="510" spans="1:8" ht="31.5">
      <c r="A510" s="41" t="s">
        <v>30</v>
      </c>
      <c r="B510" s="32" t="s">
        <v>11</v>
      </c>
      <c r="C510" s="33" t="s">
        <v>398</v>
      </c>
      <c r="D510" s="34" t="s">
        <v>396</v>
      </c>
      <c r="E510" s="34">
        <v>240</v>
      </c>
      <c r="F510" s="38">
        <v>500000</v>
      </c>
      <c r="G510" s="38">
        <v>100000</v>
      </c>
      <c r="H510" s="36">
        <f t="shared" si="24"/>
        <v>600000</v>
      </c>
    </row>
    <row r="511" spans="1:8" ht="31.5">
      <c r="A511" s="23" t="s">
        <v>399</v>
      </c>
      <c r="B511" s="24" t="s">
        <v>11</v>
      </c>
      <c r="C511" s="24" t="s">
        <v>400</v>
      </c>
      <c r="D511" s="34"/>
      <c r="E511" s="34"/>
      <c r="F511" s="55">
        <f aca="true" t="shared" si="29" ref="F511:F516">F512</f>
        <v>34723875</v>
      </c>
      <c r="G511" s="55">
        <f aca="true" t="shared" si="30" ref="G511:G516">G512</f>
        <v>-28647391.650000002</v>
      </c>
      <c r="H511" s="21">
        <f t="shared" si="24"/>
        <v>6076483.349999998</v>
      </c>
    </row>
    <row r="512" spans="1:8" ht="31.5">
      <c r="A512" s="26" t="s">
        <v>401</v>
      </c>
      <c r="B512" s="24" t="s">
        <v>11</v>
      </c>
      <c r="C512" s="28" t="s">
        <v>402</v>
      </c>
      <c r="D512" s="34"/>
      <c r="E512" s="34"/>
      <c r="F512" s="45">
        <f t="shared" si="29"/>
        <v>34723875</v>
      </c>
      <c r="G512" s="45">
        <f t="shared" si="30"/>
        <v>-28647391.650000002</v>
      </c>
      <c r="H512" s="30">
        <f t="shared" si="24"/>
        <v>6076483.349999998</v>
      </c>
    </row>
    <row r="513" spans="1:8" ht="15.75">
      <c r="A513" s="31" t="s">
        <v>16</v>
      </c>
      <c r="B513" s="33" t="s">
        <v>11</v>
      </c>
      <c r="C513" s="33" t="s">
        <v>402</v>
      </c>
      <c r="D513" s="34" t="s">
        <v>17</v>
      </c>
      <c r="E513" s="34"/>
      <c r="F513" s="38">
        <f t="shared" si="29"/>
        <v>34723875</v>
      </c>
      <c r="G513" s="38">
        <f t="shared" si="30"/>
        <v>-28647391.650000002</v>
      </c>
      <c r="H513" s="36">
        <f t="shared" si="24"/>
        <v>6076483.349999998</v>
      </c>
    </row>
    <row r="514" spans="1:8" ht="47.25">
      <c r="A514" s="37" t="s">
        <v>403</v>
      </c>
      <c r="B514" s="33" t="s">
        <v>11</v>
      </c>
      <c r="C514" s="33" t="s">
        <v>402</v>
      </c>
      <c r="D514" s="34" t="s">
        <v>52</v>
      </c>
      <c r="E514" s="34"/>
      <c r="F514" s="38">
        <f t="shared" si="29"/>
        <v>34723875</v>
      </c>
      <c r="G514" s="38">
        <f t="shared" si="30"/>
        <v>-28647391.650000002</v>
      </c>
      <c r="H514" s="36">
        <f t="shared" si="24"/>
        <v>6076483.349999998</v>
      </c>
    </row>
    <row r="515" spans="1:8" ht="15.75">
      <c r="A515" s="37" t="s">
        <v>404</v>
      </c>
      <c r="B515" s="33" t="s">
        <v>11</v>
      </c>
      <c r="C515" s="33" t="s">
        <v>402</v>
      </c>
      <c r="D515" s="34" t="s">
        <v>405</v>
      </c>
      <c r="E515" s="34"/>
      <c r="F515" s="38">
        <f t="shared" si="29"/>
        <v>34723875</v>
      </c>
      <c r="G515" s="38">
        <f t="shared" si="30"/>
        <v>-28647391.650000002</v>
      </c>
      <c r="H515" s="36">
        <f t="shared" si="24"/>
        <v>6076483.349999998</v>
      </c>
    </row>
    <row r="516" spans="1:8" ht="15.75">
      <c r="A516" s="37" t="s">
        <v>406</v>
      </c>
      <c r="B516" s="33" t="s">
        <v>11</v>
      </c>
      <c r="C516" s="33" t="s">
        <v>402</v>
      </c>
      <c r="D516" s="34" t="s">
        <v>405</v>
      </c>
      <c r="E516" s="34">
        <v>700</v>
      </c>
      <c r="F516" s="38">
        <f t="shared" si="29"/>
        <v>34723875</v>
      </c>
      <c r="G516" s="38">
        <f t="shared" si="30"/>
        <v>-28647391.650000002</v>
      </c>
      <c r="H516" s="36">
        <f t="shared" si="24"/>
        <v>6076483.349999998</v>
      </c>
    </row>
    <row r="517" spans="1:8" ht="15.75">
      <c r="A517" s="37" t="s">
        <v>407</v>
      </c>
      <c r="B517" s="33" t="s">
        <v>11</v>
      </c>
      <c r="C517" s="33" t="s">
        <v>402</v>
      </c>
      <c r="D517" s="34" t="s">
        <v>405</v>
      </c>
      <c r="E517" s="34">
        <v>730</v>
      </c>
      <c r="F517" s="38">
        <v>34723875</v>
      </c>
      <c r="G517" s="38">
        <f>-10900000-119178-200000-5000000-325000-4169886.42-172414-808009.98-6952903.25</f>
        <v>-28647391.650000002</v>
      </c>
      <c r="H517" s="36">
        <f t="shared" si="24"/>
        <v>6076483.349999998</v>
      </c>
    </row>
    <row r="518" spans="1:8" ht="47.25">
      <c r="A518" s="64" t="s">
        <v>408</v>
      </c>
      <c r="B518" s="54" t="s">
        <v>11</v>
      </c>
      <c r="C518" s="24" t="s">
        <v>409</v>
      </c>
      <c r="D518" s="57"/>
      <c r="E518" s="57"/>
      <c r="F518" s="55">
        <f aca="true" t="shared" si="31" ref="F518:F523">F519</f>
        <v>11850160.49</v>
      </c>
      <c r="G518" s="55">
        <f aca="true" t="shared" si="32" ref="G518:G523">G519</f>
        <v>382263.51</v>
      </c>
      <c r="H518" s="21">
        <f t="shared" si="24"/>
        <v>12232424</v>
      </c>
    </row>
    <row r="519" spans="1:8" ht="31.5">
      <c r="A519" s="43" t="s">
        <v>410</v>
      </c>
      <c r="B519" s="27" t="s">
        <v>11</v>
      </c>
      <c r="C519" s="28" t="s">
        <v>411</v>
      </c>
      <c r="D519" s="44"/>
      <c r="E519" s="44"/>
      <c r="F519" s="45">
        <f t="shared" si="31"/>
        <v>11850160.49</v>
      </c>
      <c r="G519" s="45">
        <f t="shared" si="32"/>
        <v>382263.51</v>
      </c>
      <c r="H519" s="30">
        <f t="shared" si="24"/>
        <v>12232424</v>
      </c>
    </row>
    <row r="520" spans="1:8" ht="15.75">
      <c r="A520" s="31" t="s">
        <v>16</v>
      </c>
      <c r="B520" s="32" t="s">
        <v>11</v>
      </c>
      <c r="C520" s="33" t="s">
        <v>411</v>
      </c>
      <c r="D520" s="34" t="s">
        <v>17</v>
      </c>
      <c r="E520" s="34"/>
      <c r="F520" s="38">
        <f t="shared" si="31"/>
        <v>11850160.49</v>
      </c>
      <c r="G520" s="38">
        <f t="shared" si="32"/>
        <v>382263.51</v>
      </c>
      <c r="H520" s="36">
        <f t="shared" si="24"/>
        <v>12232424</v>
      </c>
    </row>
    <row r="521" spans="1:8" ht="47.25">
      <c r="A521" s="41" t="s">
        <v>412</v>
      </c>
      <c r="B521" s="32" t="s">
        <v>11</v>
      </c>
      <c r="C521" s="33" t="s">
        <v>411</v>
      </c>
      <c r="D521" s="34" t="s">
        <v>413</v>
      </c>
      <c r="E521" s="34"/>
      <c r="F521" s="38">
        <f t="shared" si="31"/>
        <v>11850160.49</v>
      </c>
      <c r="G521" s="38">
        <f t="shared" si="32"/>
        <v>382263.51</v>
      </c>
      <c r="H521" s="36">
        <f t="shared" si="24"/>
        <v>12232424</v>
      </c>
    </row>
    <row r="522" spans="1:8" ht="63">
      <c r="A522" s="41" t="s">
        <v>414</v>
      </c>
      <c r="B522" s="32" t="s">
        <v>11</v>
      </c>
      <c r="C522" s="33" t="s">
        <v>411</v>
      </c>
      <c r="D522" s="34" t="s">
        <v>415</v>
      </c>
      <c r="E522" s="34"/>
      <c r="F522" s="38">
        <f t="shared" si="31"/>
        <v>11850160.49</v>
      </c>
      <c r="G522" s="38">
        <f t="shared" si="32"/>
        <v>382263.51</v>
      </c>
      <c r="H522" s="36">
        <f t="shared" si="24"/>
        <v>12232424</v>
      </c>
    </row>
    <row r="523" spans="1:8" ht="15.75">
      <c r="A523" s="41" t="s">
        <v>416</v>
      </c>
      <c r="B523" s="32" t="s">
        <v>11</v>
      </c>
      <c r="C523" s="33" t="s">
        <v>411</v>
      </c>
      <c r="D523" s="34" t="s">
        <v>415</v>
      </c>
      <c r="E523" s="34">
        <v>500</v>
      </c>
      <c r="F523" s="38">
        <f t="shared" si="31"/>
        <v>11850160.49</v>
      </c>
      <c r="G523" s="38">
        <f t="shared" si="32"/>
        <v>382263.51</v>
      </c>
      <c r="H523" s="36">
        <f t="shared" si="24"/>
        <v>12232424</v>
      </c>
    </row>
    <row r="524" spans="1:8" ht="15.75">
      <c r="A524" s="41" t="s">
        <v>417</v>
      </c>
      <c r="B524" s="32" t="s">
        <v>11</v>
      </c>
      <c r="C524" s="33" t="s">
        <v>411</v>
      </c>
      <c r="D524" s="34" t="s">
        <v>415</v>
      </c>
      <c r="E524" s="34">
        <v>540</v>
      </c>
      <c r="F524" s="38">
        <v>11850160.49</v>
      </c>
      <c r="G524" s="38">
        <v>382263.51</v>
      </c>
      <c r="H524" s="36">
        <f t="shared" si="24"/>
        <v>12232424</v>
      </c>
    </row>
    <row r="525" spans="1:8" s="65" customFormat="1" ht="31.5">
      <c r="A525" s="64" t="s">
        <v>418</v>
      </c>
      <c r="B525" s="18" t="s">
        <v>419</v>
      </c>
      <c r="C525" s="33"/>
      <c r="D525" s="34"/>
      <c r="E525" s="34"/>
      <c r="F525" s="55">
        <f aca="true" t="shared" si="33" ref="F525:G529">F526</f>
        <v>29922000</v>
      </c>
      <c r="G525" s="55">
        <f t="shared" si="33"/>
        <v>137589</v>
      </c>
      <c r="H525" s="21">
        <f t="shared" si="24"/>
        <v>30059589</v>
      </c>
    </row>
    <row r="526" spans="1:8" s="65" customFormat="1" ht="16.5">
      <c r="A526" s="23" t="s">
        <v>12</v>
      </c>
      <c r="B526" s="18" t="s">
        <v>419</v>
      </c>
      <c r="C526" s="24" t="s">
        <v>13</v>
      </c>
      <c r="D526" s="34"/>
      <c r="E526" s="34"/>
      <c r="F526" s="55">
        <f t="shared" si="33"/>
        <v>29922000</v>
      </c>
      <c r="G526" s="55">
        <f t="shared" si="33"/>
        <v>137589</v>
      </c>
      <c r="H526" s="21">
        <f t="shared" si="24"/>
        <v>30059589</v>
      </c>
    </row>
    <row r="527" spans="1:8" s="65" customFormat="1" ht="63">
      <c r="A527" s="43" t="s">
        <v>14</v>
      </c>
      <c r="B527" s="27" t="s">
        <v>419</v>
      </c>
      <c r="C527" s="28" t="s">
        <v>15</v>
      </c>
      <c r="D527" s="66"/>
      <c r="E527" s="66"/>
      <c r="F527" s="45">
        <f t="shared" si="33"/>
        <v>29922000</v>
      </c>
      <c r="G527" s="45">
        <f t="shared" si="33"/>
        <v>137589</v>
      </c>
      <c r="H527" s="30">
        <f t="shared" si="24"/>
        <v>30059589</v>
      </c>
    </row>
    <row r="528" spans="1:8" ht="15.75">
      <c r="A528" s="41" t="s">
        <v>16</v>
      </c>
      <c r="B528" s="32" t="s">
        <v>419</v>
      </c>
      <c r="C528" s="33" t="s">
        <v>15</v>
      </c>
      <c r="D528" s="34" t="s">
        <v>17</v>
      </c>
      <c r="E528" s="66"/>
      <c r="F528" s="38">
        <f t="shared" si="33"/>
        <v>29922000</v>
      </c>
      <c r="G528" s="38">
        <f t="shared" si="33"/>
        <v>137589</v>
      </c>
      <c r="H528" s="36">
        <f t="shared" si="24"/>
        <v>30059589</v>
      </c>
    </row>
    <row r="529" spans="1:8" ht="31.5">
      <c r="A529" s="41" t="s">
        <v>18</v>
      </c>
      <c r="B529" s="32" t="s">
        <v>419</v>
      </c>
      <c r="C529" s="33" t="s">
        <v>15</v>
      </c>
      <c r="D529" s="34" t="s">
        <v>19</v>
      </c>
      <c r="E529" s="66"/>
      <c r="F529" s="38">
        <f t="shared" si="33"/>
        <v>29922000</v>
      </c>
      <c r="G529" s="38">
        <f t="shared" si="33"/>
        <v>137589</v>
      </c>
      <c r="H529" s="36">
        <f t="shared" si="24"/>
        <v>30059589</v>
      </c>
    </row>
    <row r="530" spans="1:8" ht="47.25">
      <c r="A530" s="41" t="s">
        <v>420</v>
      </c>
      <c r="B530" s="32" t="s">
        <v>419</v>
      </c>
      <c r="C530" s="33" t="s">
        <v>15</v>
      </c>
      <c r="D530" s="34" t="s">
        <v>421</v>
      </c>
      <c r="E530" s="34"/>
      <c r="F530" s="38">
        <f>F531+F533+F535</f>
        <v>29922000</v>
      </c>
      <c r="G530" s="38">
        <f>G531+G533+G535</f>
        <v>137589</v>
      </c>
      <c r="H530" s="36">
        <f t="shared" si="24"/>
        <v>30059589</v>
      </c>
    </row>
    <row r="531" spans="1:8" ht="78.75">
      <c r="A531" s="40" t="s">
        <v>22</v>
      </c>
      <c r="B531" s="32" t="s">
        <v>419</v>
      </c>
      <c r="C531" s="33" t="s">
        <v>15</v>
      </c>
      <c r="D531" s="34" t="s">
        <v>421</v>
      </c>
      <c r="E531" s="34">
        <v>100</v>
      </c>
      <c r="F531" s="38">
        <f>F532</f>
        <v>17900000</v>
      </c>
      <c r="G531" s="38">
        <f>G532</f>
        <v>1600000</v>
      </c>
      <c r="H531" s="36">
        <f t="shared" si="24"/>
        <v>19500000</v>
      </c>
    </row>
    <row r="532" spans="1:8" ht="31.5">
      <c r="A532" s="40" t="s">
        <v>24</v>
      </c>
      <c r="B532" s="32" t="s">
        <v>419</v>
      </c>
      <c r="C532" s="33" t="s">
        <v>15</v>
      </c>
      <c r="D532" s="34" t="s">
        <v>421</v>
      </c>
      <c r="E532" s="34">
        <v>120</v>
      </c>
      <c r="F532" s="38">
        <v>17900000</v>
      </c>
      <c r="G532" s="38">
        <v>1600000</v>
      </c>
      <c r="H532" s="36">
        <f t="shared" si="24"/>
        <v>19500000</v>
      </c>
    </row>
    <row r="533" spans="1:8" ht="31.5">
      <c r="A533" s="41" t="s">
        <v>28</v>
      </c>
      <c r="B533" s="32" t="s">
        <v>419</v>
      </c>
      <c r="C533" s="33" t="s">
        <v>15</v>
      </c>
      <c r="D533" s="34" t="s">
        <v>421</v>
      </c>
      <c r="E533" s="34">
        <v>200</v>
      </c>
      <c r="F533" s="38">
        <f>F534</f>
        <v>12000000</v>
      </c>
      <c r="G533" s="38">
        <f>G534</f>
        <v>-1462411</v>
      </c>
      <c r="H533" s="36">
        <f t="shared" si="24"/>
        <v>10537589</v>
      </c>
    </row>
    <row r="534" spans="1:8" ht="31.5">
      <c r="A534" s="41" t="s">
        <v>30</v>
      </c>
      <c r="B534" s="32" t="s">
        <v>419</v>
      </c>
      <c r="C534" s="33" t="s">
        <v>15</v>
      </c>
      <c r="D534" s="34" t="s">
        <v>421</v>
      </c>
      <c r="E534" s="34">
        <v>240</v>
      </c>
      <c r="F534" s="38">
        <v>12000000</v>
      </c>
      <c r="G534" s="38">
        <f>-50000-1412411</f>
        <v>-1462411</v>
      </c>
      <c r="H534" s="36">
        <f t="shared" si="24"/>
        <v>10537589</v>
      </c>
    </row>
    <row r="535" spans="1:8" ht="15.75">
      <c r="A535" s="41" t="s">
        <v>36</v>
      </c>
      <c r="B535" s="32" t="s">
        <v>419</v>
      </c>
      <c r="C535" s="33" t="s">
        <v>15</v>
      </c>
      <c r="D535" s="34" t="s">
        <v>421</v>
      </c>
      <c r="E535" s="34">
        <v>800</v>
      </c>
      <c r="F535" s="38">
        <f>F536</f>
        <v>22000</v>
      </c>
      <c r="G535" s="38">
        <f>G536</f>
        <v>0</v>
      </c>
      <c r="H535" s="36">
        <f t="shared" si="24"/>
        <v>22000</v>
      </c>
    </row>
    <row r="536" spans="1:8" ht="15.75">
      <c r="A536" s="41" t="s">
        <v>38</v>
      </c>
      <c r="B536" s="32" t="s">
        <v>419</v>
      </c>
      <c r="C536" s="33" t="s">
        <v>15</v>
      </c>
      <c r="D536" s="34" t="s">
        <v>421</v>
      </c>
      <c r="E536" s="34">
        <v>850</v>
      </c>
      <c r="F536" s="38">
        <v>22000</v>
      </c>
      <c r="G536" s="38">
        <v>0</v>
      </c>
      <c r="H536" s="36">
        <f t="shared" si="24"/>
        <v>22000</v>
      </c>
    </row>
    <row r="537" spans="1:8" ht="33">
      <c r="A537" s="17" t="s">
        <v>422</v>
      </c>
      <c r="B537" s="19" t="s">
        <v>423</v>
      </c>
      <c r="C537" s="33"/>
      <c r="D537" s="34"/>
      <c r="E537" s="34"/>
      <c r="F537" s="67">
        <f>F538+F561</f>
        <v>41616000</v>
      </c>
      <c r="G537" s="67">
        <f>G538+G561</f>
        <v>-318208.81</v>
      </c>
      <c r="H537" s="21">
        <f t="shared" si="24"/>
        <v>41297791.19</v>
      </c>
    </row>
    <row r="538" spans="1:8" ht="15.75">
      <c r="A538" s="23" t="s">
        <v>12</v>
      </c>
      <c r="B538" s="24" t="s">
        <v>423</v>
      </c>
      <c r="C538" s="24" t="s">
        <v>13</v>
      </c>
      <c r="D538" s="34"/>
      <c r="E538" s="34"/>
      <c r="F538" s="55">
        <f>SUM(F539,F552)</f>
        <v>41616000</v>
      </c>
      <c r="G538" s="55">
        <f>SUM(G539,G552)</f>
        <v>-472386.81</v>
      </c>
      <c r="H538" s="21">
        <f t="shared" si="24"/>
        <v>41143613.19</v>
      </c>
    </row>
    <row r="539" spans="1:8" s="16" customFormat="1" ht="47.25">
      <c r="A539" s="26" t="s">
        <v>424</v>
      </c>
      <c r="B539" s="28" t="s">
        <v>423</v>
      </c>
      <c r="C539" s="28" t="s">
        <v>425</v>
      </c>
      <c r="D539" s="34"/>
      <c r="E539" s="34"/>
      <c r="F539" s="45">
        <f>F540</f>
        <v>31616000</v>
      </c>
      <c r="G539" s="45">
        <f>G540</f>
        <v>45570</v>
      </c>
      <c r="H539" s="30">
        <f aca="true" t="shared" si="34" ref="H539:H602">SUM(F539:G539)</f>
        <v>31661570</v>
      </c>
    </row>
    <row r="540" spans="1:8" s="16" customFormat="1" ht="15.75">
      <c r="A540" s="31" t="s">
        <v>16</v>
      </c>
      <c r="B540" s="32" t="s">
        <v>423</v>
      </c>
      <c r="C540" s="33" t="s">
        <v>425</v>
      </c>
      <c r="D540" s="34" t="s">
        <v>17</v>
      </c>
      <c r="E540" s="28"/>
      <c r="F540" s="35">
        <f>F541</f>
        <v>31616000</v>
      </c>
      <c r="G540" s="35">
        <f>G541</f>
        <v>45570</v>
      </c>
      <c r="H540" s="36">
        <f t="shared" si="34"/>
        <v>31661570</v>
      </c>
    </row>
    <row r="541" spans="1:8" s="16" customFormat="1" ht="31.5">
      <c r="A541" s="37" t="s">
        <v>18</v>
      </c>
      <c r="B541" s="32" t="s">
        <v>423</v>
      </c>
      <c r="C541" s="33" t="s">
        <v>425</v>
      </c>
      <c r="D541" s="34" t="s">
        <v>19</v>
      </c>
      <c r="E541" s="34"/>
      <c r="F541" s="38">
        <f>F542+F549</f>
        <v>31616000</v>
      </c>
      <c r="G541" s="38">
        <f>G542+G549</f>
        <v>45570</v>
      </c>
      <c r="H541" s="36">
        <f t="shared" si="34"/>
        <v>31661570</v>
      </c>
    </row>
    <row r="542" spans="1:8" s="39" customFormat="1" ht="31.5">
      <c r="A542" s="37" t="s">
        <v>426</v>
      </c>
      <c r="B542" s="32" t="s">
        <v>423</v>
      </c>
      <c r="C542" s="33" t="s">
        <v>425</v>
      </c>
      <c r="D542" s="34" t="s">
        <v>427</v>
      </c>
      <c r="E542" s="34"/>
      <c r="F542" s="38">
        <f>SUM(F543,F545,F547)</f>
        <v>31616000</v>
      </c>
      <c r="G542" s="38">
        <f>SUM(G543,G545,G547)</f>
        <v>0</v>
      </c>
      <c r="H542" s="36">
        <f t="shared" si="34"/>
        <v>31616000</v>
      </c>
    </row>
    <row r="543" spans="1:8" s="39" customFormat="1" ht="78.75">
      <c r="A543" s="40" t="s">
        <v>22</v>
      </c>
      <c r="B543" s="32" t="s">
        <v>423</v>
      </c>
      <c r="C543" s="33" t="s">
        <v>425</v>
      </c>
      <c r="D543" s="34" t="s">
        <v>427</v>
      </c>
      <c r="E543" s="33" t="s">
        <v>23</v>
      </c>
      <c r="F543" s="38">
        <f>F544</f>
        <v>27856000</v>
      </c>
      <c r="G543" s="38">
        <f>G544</f>
        <v>176000</v>
      </c>
      <c r="H543" s="36">
        <f t="shared" si="34"/>
        <v>28032000</v>
      </c>
    </row>
    <row r="544" spans="1:8" s="16" customFormat="1" ht="31.5">
      <c r="A544" s="40" t="s">
        <v>24</v>
      </c>
      <c r="B544" s="32" t="s">
        <v>423</v>
      </c>
      <c r="C544" s="33" t="s">
        <v>425</v>
      </c>
      <c r="D544" s="34" t="s">
        <v>427</v>
      </c>
      <c r="E544" s="33" t="s">
        <v>25</v>
      </c>
      <c r="F544" s="38">
        <v>27856000</v>
      </c>
      <c r="G544" s="38">
        <v>176000</v>
      </c>
      <c r="H544" s="36">
        <f t="shared" si="34"/>
        <v>28032000</v>
      </c>
    </row>
    <row r="545" spans="1:8" s="16" customFormat="1" ht="31.5">
      <c r="A545" s="41" t="s">
        <v>28</v>
      </c>
      <c r="B545" s="32" t="s">
        <v>423</v>
      </c>
      <c r="C545" s="33" t="s">
        <v>425</v>
      </c>
      <c r="D545" s="34" t="s">
        <v>427</v>
      </c>
      <c r="E545" s="33" t="s">
        <v>29</v>
      </c>
      <c r="F545" s="38">
        <f>F546</f>
        <v>3700000</v>
      </c>
      <c r="G545" s="38">
        <f>G546</f>
        <v>-176000</v>
      </c>
      <c r="H545" s="36">
        <f t="shared" si="34"/>
        <v>3524000</v>
      </c>
    </row>
    <row r="546" spans="1:8" s="39" customFormat="1" ht="31.5">
      <c r="A546" s="41" t="s">
        <v>30</v>
      </c>
      <c r="B546" s="32" t="s">
        <v>423</v>
      </c>
      <c r="C546" s="33" t="s">
        <v>425</v>
      </c>
      <c r="D546" s="34" t="s">
        <v>427</v>
      </c>
      <c r="E546" s="33" t="s">
        <v>31</v>
      </c>
      <c r="F546" s="38">
        <v>3700000</v>
      </c>
      <c r="G546" s="38">
        <v>-176000</v>
      </c>
      <c r="H546" s="36">
        <f t="shared" si="34"/>
        <v>3524000</v>
      </c>
    </row>
    <row r="547" spans="1:8" s="39" customFormat="1" ht="15.75">
      <c r="A547" s="41" t="s">
        <v>36</v>
      </c>
      <c r="B547" s="32" t="s">
        <v>423</v>
      </c>
      <c r="C547" s="33" t="s">
        <v>425</v>
      </c>
      <c r="D547" s="34" t="s">
        <v>427</v>
      </c>
      <c r="E547" s="33" t="s">
        <v>37</v>
      </c>
      <c r="F547" s="38">
        <f>F548</f>
        <v>60000</v>
      </c>
      <c r="G547" s="38">
        <f>G548</f>
        <v>0</v>
      </c>
      <c r="H547" s="36">
        <f t="shared" si="34"/>
        <v>60000</v>
      </c>
    </row>
    <row r="548" spans="1:8" s="16" customFormat="1" ht="15.75">
      <c r="A548" s="41" t="s">
        <v>38</v>
      </c>
      <c r="B548" s="32" t="s">
        <v>423</v>
      </c>
      <c r="C548" s="33" t="s">
        <v>425</v>
      </c>
      <c r="D548" s="34" t="s">
        <v>427</v>
      </c>
      <c r="E548" s="33" t="s">
        <v>39</v>
      </c>
      <c r="F548" s="38">
        <v>60000</v>
      </c>
      <c r="G548" s="38">
        <v>0</v>
      </c>
      <c r="H548" s="36">
        <f t="shared" si="34"/>
        <v>60000</v>
      </c>
    </row>
    <row r="549" spans="1:8" s="16" customFormat="1" ht="33.75" customHeight="1">
      <c r="A549" s="41" t="s">
        <v>40</v>
      </c>
      <c r="B549" s="32" t="s">
        <v>423</v>
      </c>
      <c r="C549" s="33" t="s">
        <v>425</v>
      </c>
      <c r="D549" s="34" t="s">
        <v>41</v>
      </c>
      <c r="E549" s="33"/>
      <c r="F549" s="38">
        <f>F550</f>
        <v>0</v>
      </c>
      <c r="G549" s="38">
        <f>G550</f>
        <v>45570</v>
      </c>
      <c r="H549" s="36">
        <f t="shared" si="34"/>
        <v>45570</v>
      </c>
    </row>
    <row r="550" spans="1:8" s="16" customFormat="1" ht="78.75">
      <c r="A550" s="40" t="s">
        <v>22</v>
      </c>
      <c r="B550" s="32" t="s">
        <v>423</v>
      </c>
      <c r="C550" s="33" t="s">
        <v>425</v>
      </c>
      <c r="D550" s="34" t="s">
        <v>41</v>
      </c>
      <c r="E550" s="33" t="s">
        <v>23</v>
      </c>
      <c r="F550" s="38">
        <f>F551</f>
        <v>0</v>
      </c>
      <c r="G550" s="38">
        <f>G551</f>
        <v>45570</v>
      </c>
      <c r="H550" s="36">
        <f t="shared" si="34"/>
        <v>45570</v>
      </c>
    </row>
    <row r="551" spans="1:8" s="16" customFormat="1" ht="31.5">
      <c r="A551" s="40" t="s">
        <v>24</v>
      </c>
      <c r="B551" s="32" t="s">
        <v>423</v>
      </c>
      <c r="C551" s="33" t="s">
        <v>425</v>
      </c>
      <c r="D551" s="34" t="s">
        <v>41</v>
      </c>
      <c r="E551" s="33" t="s">
        <v>25</v>
      </c>
      <c r="F551" s="38">
        <v>0</v>
      </c>
      <c r="G551" s="38">
        <v>45570</v>
      </c>
      <c r="H551" s="36">
        <f t="shared" si="34"/>
        <v>45570</v>
      </c>
    </row>
    <row r="552" spans="1:8" s="16" customFormat="1" ht="15.75">
      <c r="A552" s="26" t="s">
        <v>428</v>
      </c>
      <c r="B552" s="28" t="s">
        <v>423</v>
      </c>
      <c r="C552" s="28" t="s">
        <v>429</v>
      </c>
      <c r="D552" s="34"/>
      <c r="E552" s="34"/>
      <c r="F552" s="45">
        <f>F553</f>
        <v>10000000</v>
      </c>
      <c r="G552" s="45">
        <f>G553</f>
        <v>-517956.81</v>
      </c>
      <c r="H552" s="30">
        <f t="shared" si="34"/>
        <v>9482043.19</v>
      </c>
    </row>
    <row r="553" spans="1:8" s="16" customFormat="1" ht="15.75">
      <c r="A553" s="31" t="s">
        <v>16</v>
      </c>
      <c r="B553" s="33" t="s">
        <v>423</v>
      </c>
      <c r="C553" s="33" t="s">
        <v>429</v>
      </c>
      <c r="D553" s="34" t="s">
        <v>17</v>
      </c>
      <c r="E553" s="34"/>
      <c r="F553" s="38">
        <f>F554</f>
        <v>10000000</v>
      </c>
      <c r="G553" s="38">
        <f>G554</f>
        <v>-517956.81</v>
      </c>
      <c r="H553" s="36">
        <f t="shared" si="34"/>
        <v>9482043.19</v>
      </c>
    </row>
    <row r="554" spans="1:8" s="16" customFormat="1" ht="15.75">
      <c r="A554" s="37" t="s">
        <v>151</v>
      </c>
      <c r="B554" s="33" t="s">
        <v>423</v>
      </c>
      <c r="C554" s="33" t="s">
        <v>429</v>
      </c>
      <c r="D554" s="34" t="s">
        <v>152</v>
      </c>
      <c r="E554" s="34"/>
      <c r="F554" s="38">
        <f>SUM(F555,F558)</f>
        <v>10000000</v>
      </c>
      <c r="G554" s="38">
        <f>SUM(G555,G558)</f>
        <v>-517956.81</v>
      </c>
      <c r="H554" s="36">
        <f t="shared" si="34"/>
        <v>9482043.19</v>
      </c>
    </row>
    <row r="555" spans="1:8" s="16" customFormat="1" ht="15.75">
      <c r="A555" s="37" t="s">
        <v>430</v>
      </c>
      <c r="B555" s="33" t="s">
        <v>423</v>
      </c>
      <c r="C555" s="33" t="s">
        <v>429</v>
      </c>
      <c r="D555" s="34" t="s">
        <v>431</v>
      </c>
      <c r="E555" s="34"/>
      <c r="F555" s="38">
        <f>F556</f>
        <v>7200000</v>
      </c>
      <c r="G555" s="38">
        <f>G556</f>
        <v>-312400</v>
      </c>
      <c r="H555" s="36">
        <f t="shared" si="34"/>
        <v>6887600</v>
      </c>
    </row>
    <row r="556" spans="1:8" s="16" customFormat="1" ht="15.75">
      <c r="A556" s="41" t="s">
        <v>36</v>
      </c>
      <c r="B556" s="33" t="s">
        <v>423</v>
      </c>
      <c r="C556" s="33" t="s">
        <v>429</v>
      </c>
      <c r="D556" s="34" t="s">
        <v>431</v>
      </c>
      <c r="E556" s="34">
        <v>800</v>
      </c>
      <c r="F556" s="38">
        <f>F557</f>
        <v>7200000</v>
      </c>
      <c r="G556" s="38">
        <f>G557</f>
        <v>-312400</v>
      </c>
      <c r="H556" s="36">
        <f t="shared" si="34"/>
        <v>6887600</v>
      </c>
    </row>
    <row r="557" spans="1:8" s="16" customFormat="1" ht="15.75">
      <c r="A557" s="37" t="s">
        <v>432</v>
      </c>
      <c r="B557" s="33" t="s">
        <v>423</v>
      </c>
      <c r="C557" s="33" t="s">
        <v>429</v>
      </c>
      <c r="D557" s="34" t="s">
        <v>431</v>
      </c>
      <c r="E557" s="34">
        <v>870</v>
      </c>
      <c r="F557" s="38">
        <v>7200000</v>
      </c>
      <c r="G557" s="38">
        <v>-312400</v>
      </c>
      <c r="H557" s="36">
        <f t="shared" si="34"/>
        <v>6887600</v>
      </c>
    </row>
    <row r="558" spans="1:8" s="16" customFormat="1" ht="47.25">
      <c r="A558" s="37" t="s">
        <v>433</v>
      </c>
      <c r="B558" s="33" t="s">
        <v>423</v>
      </c>
      <c r="C558" s="33" t="s">
        <v>429</v>
      </c>
      <c r="D558" s="34" t="s">
        <v>434</v>
      </c>
      <c r="E558" s="34"/>
      <c r="F558" s="38">
        <f>F559</f>
        <v>2800000</v>
      </c>
      <c r="G558" s="38">
        <f>G559</f>
        <v>-205556.81</v>
      </c>
      <c r="H558" s="36">
        <f t="shared" si="34"/>
        <v>2594443.19</v>
      </c>
    </row>
    <row r="559" spans="1:8" s="39" customFormat="1" ht="15.75">
      <c r="A559" s="41" t="s">
        <v>36</v>
      </c>
      <c r="B559" s="33" t="s">
        <v>423</v>
      </c>
      <c r="C559" s="33" t="s">
        <v>429</v>
      </c>
      <c r="D559" s="34" t="s">
        <v>434</v>
      </c>
      <c r="E559" s="34">
        <v>800</v>
      </c>
      <c r="F559" s="38">
        <f>F560</f>
        <v>2800000</v>
      </c>
      <c r="G559" s="38">
        <f>G560</f>
        <v>-205556.81</v>
      </c>
      <c r="H559" s="36">
        <f t="shared" si="34"/>
        <v>2594443.19</v>
      </c>
    </row>
    <row r="560" spans="1:8" s="39" customFormat="1" ht="15.75">
      <c r="A560" s="37" t="s">
        <v>432</v>
      </c>
      <c r="B560" s="33" t="s">
        <v>423</v>
      </c>
      <c r="C560" s="33" t="s">
        <v>429</v>
      </c>
      <c r="D560" s="34" t="s">
        <v>434</v>
      </c>
      <c r="E560" s="34">
        <v>870</v>
      </c>
      <c r="F560" s="38">
        <v>2800000</v>
      </c>
      <c r="G560" s="38">
        <v>-205556.81</v>
      </c>
      <c r="H560" s="36">
        <f t="shared" si="34"/>
        <v>2594443.19</v>
      </c>
    </row>
    <row r="561" spans="1:8" s="39" customFormat="1" ht="32.25" customHeight="1">
      <c r="A561" s="68" t="s">
        <v>435</v>
      </c>
      <c r="B561" s="24" t="s">
        <v>423</v>
      </c>
      <c r="C561" s="24" t="s">
        <v>400</v>
      </c>
      <c r="D561" s="57"/>
      <c r="E561" s="57"/>
      <c r="F561" s="55">
        <f aca="true" t="shared" si="35" ref="F561:F566">F562</f>
        <v>0</v>
      </c>
      <c r="G561" s="55">
        <f aca="true" t="shared" si="36" ref="G561:G566">G562</f>
        <v>154178</v>
      </c>
      <c r="H561" s="21">
        <f t="shared" si="34"/>
        <v>154178</v>
      </c>
    </row>
    <row r="562" spans="1:8" s="39" customFormat="1" ht="30.75" customHeight="1">
      <c r="A562" s="58" t="s">
        <v>436</v>
      </c>
      <c r="B562" s="28" t="s">
        <v>423</v>
      </c>
      <c r="C562" s="28" t="s">
        <v>402</v>
      </c>
      <c r="D562" s="44"/>
      <c r="E562" s="44"/>
      <c r="F562" s="45">
        <f t="shared" si="35"/>
        <v>0</v>
      </c>
      <c r="G562" s="45">
        <f t="shared" si="36"/>
        <v>154178</v>
      </c>
      <c r="H562" s="30">
        <f t="shared" si="34"/>
        <v>154178</v>
      </c>
    </row>
    <row r="563" spans="1:8" s="39" customFormat="1" ht="15.75">
      <c r="A563" s="37" t="s">
        <v>16</v>
      </c>
      <c r="B563" s="33" t="s">
        <v>423</v>
      </c>
      <c r="C563" s="33" t="s">
        <v>402</v>
      </c>
      <c r="D563" s="34" t="s">
        <v>17</v>
      </c>
      <c r="E563" s="34"/>
      <c r="F563" s="38">
        <f t="shared" si="35"/>
        <v>0</v>
      </c>
      <c r="G563" s="38">
        <f t="shared" si="36"/>
        <v>154178</v>
      </c>
      <c r="H563" s="36">
        <f t="shared" si="34"/>
        <v>154178</v>
      </c>
    </row>
    <row r="564" spans="1:8" s="39" customFormat="1" ht="36" customHeight="1">
      <c r="A564" s="37" t="s">
        <v>51</v>
      </c>
      <c r="B564" s="33" t="s">
        <v>423</v>
      </c>
      <c r="C564" s="33" t="s">
        <v>402</v>
      </c>
      <c r="D564" s="34" t="s">
        <v>52</v>
      </c>
      <c r="E564" s="34"/>
      <c r="F564" s="38">
        <f t="shared" si="35"/>
        <v>0</v>
      </c>
      <c r="G564" s="38">
        <f t="shared" si="36"/>
        <v>154178</v>
      </c>
      <c r="H564" s="36">
        <f t="shared" si="34"/>
        <v>154178</v>
      </c>
    </row>
    <row r="565" spans="1:8" s="39" customFormat="1" ht="15.75">
      <c r="A565" s="37" t="s">
        <v>404</v>
      </c>
      <c r="B565" s="33" t="s">
        <v>423</v>
      </c>
      <c r="C565" s="33" t="s">
        <v>402</v>
      </c>
      <c r="D565" s="34" t="s">
        <v>405</v>
      </c>
      <c r="E565" s="34"/>
      <c r="F565" s="38">
        <f t="shared" si="35"/>
        <v>0</v>
      </c>
      <c r="G565" s="38">
        <f t="shared" si="36"/>
        <v>154178</v>
      </c>
      <c r="H565" s="36">
        <f t="shared" si="34"/>
        <v>154178</v>
      </c>
    </row>
    <row r="566" spans="1:8" s="39" customFormat="1" ht="15.75">
      <c r="A566" s="37" t="s">
        <v>406</v>
      </c>
      <c r="B566" s="33" t="s">
        <v>423</v>
      </c>
      <c r="C566" s="33" t="s">
        <v>402</v>
      </c>
      <c r="D566" s="34" t="s">
        <v>405</v>
      </c>
      <c r="E566" s="34">
        <v>700</v>
      </c>
      <c r="F566" s="38">
        <f t="shared" si="35"/>
        <v>0</v>
      </c>
      <c r="G566" s="38">
        <f t="shared" si="36"/>
        <v>154178</v>
      </c>
      <c r="H566" s="36">
        <f t="shared" si="34"/>
        <v>154178</v>
      </c>
    </row>
    <row r="567" spans="1:8" s="39" customFormat="1" ht="15.75">
      <c r="A567" s="37" t="s">
        <v>407</v>
      </c>
      <c r="B567" s="33" t="s">
        <v>423</v>
      </c>
      <c r="C567" s="33" t="s">
        <v>402</v>
      </c>
      <c r="D567" s="34" t="s">
        <v>405</v>
      </c>
      <c r="E567" s="34">
        <v>730</v>
      </c>
      <c r="F567" s="38">
        <v>0</v>
      </c>
      <c r="G567" s="38">
        <f>119178+35000</f>
        <v>154178</v>
      </c>
      <c r="H567" s="36">
        <f t="shared" si="34"/>
        <v>154178</v>
      </c>
    </row>
    <row r="568" spans="1:8" s="39" customFormat="1" ht="33">
      <c r="A568" s="17" t="s">
        <v>437</v>
      </c>
      <c r="B568" s="19" t="s">
        <v>438</v>
      </c>
      <c r="C568" s="69"/>
      <c r="D568" s="34"/>
      <c r="E568" s="34"/>
      <c r="F568" s="67">
        <f>SUM(F569,F592)</f>
        <v>398450705.78</v>
      </c>
      <c r="G568" s="67">
        <f>SUM(G569,G592)</f>
        <v>29996230.07</v>
      </c>
      <c r="H568" s="21">
        <f t="shared" si="34"/>
        <v>428446935.84999996</v>
      </c>
    </row>
    <row r="569" spans="1:8" s="39" customFormat="1" ht="15.75">
      <c r="A569" s="23" t="s">
        <v>331</v>
      </c>
      <c r="B569" s="24" t="s">
        <v>438</v>
      </c>
      <c r="C569" s="24" t="s">
        <v>332</v>
      </c>
      <c r="D569" s="34"/>
      <c r="E569" s="34"/>
      <c r="F569" s="55">
        <f>SUM(F579,F570)</f>
        <v>142734758</v>
      </c>
      <c r="G569" s="55">
        <f>SUM(G579,G570)</f>
        <v>6845287.99</v>
      </c>
      <c r="H569" s="21">
        <f t="shared" si="34"/>
        <v>149580045.99</v>
      </c>
    </row>
    <row r="570" spans="1:8" s="16" customFormat="1" ht="15.75">
      <c r="A570" s="26" t="s">
        <v>439</v>
      </c>
      <c r="B570" s="28" t="s">
        <v>438</v>
      </c>
      <c r="C570" s="28" t="s">
        <v>440</v>
      </c>
      <c r="D570" s="44"/>
      <c r="E570" s="44"/>
      <c r="F570" s="45">
        <f>F571</f>
        <v>133784758</v>
      </c>
      <c r="G570" s="45">
        <f>G571</f>
        <v>6092487.99</v>
      </c>
      <c r="H570" s="30">
        <f t="shared" si="34"/>
        <v>139877245.99</v>
      </c>
    </row>
    <row r="571" spans="1:8" s="1" customFormat="1" ht="31.5">
      <c r="A571" s="37" t="s">
        <v>351</v>
      </c>
      <c r="B571" s="33" t="s">
        <v>438</v>
      </c>
      <c r="C571" s="33" t="s">
        <v>440</v>
      </c>
      <c r="D571" s="34" t="s">
        <v>352</v>
      </c>
      <c r="E571" s="34"/>
      <c r="F571" s="38">
        <f>F572</f>
        <v>133784758</v>
      </c>
      <c r="G571" s="38">
        <f>G572</f>
        <v>6092487.99</v>
      </c>
      <c r="H571" s="36">
        <f t="shared" si="34"/>
        <v>139877245.99</v>
      </c>
    </row>
    <row r="572" spans="1:8" s="1" customFormat="1" ht="47.25">
      <c r="A572" s="51" t="s">
        <v>441</v>
      </c>
      <c r="B572" s="33" t="s">
        <v>438</v>
      </c>
      <c r="C572" s="33" t="s">
        <v>440</v>
      </c>
      <c r="D572" s="34" t="s">
        <v>442</v>
      </c>
      <c r="E572" s="34"/>
      <c r="F572" s="38">
        <f>SUM(F573,F576)</f>
        <v>133784758</v>
      </c>
      <c r="G572" s="38">
        <f>SUM(G573,G576)</f>
        <v>6092487.99</v>
      </c>
      <c r="H572" s="36">
        <f t="shared" si="34"/>
        <v>139877245.99</v>
      </c>
    </row>
    <row r="573" spans="1:8" s="1" customFormat="1" ht="31.5">
      <c r="A573" s="51" t="s">
        <v>443</v>
      </c>
      <c r="B573" s="33" t="s">
        <v>438</v>
      </c>
      <c r="C573" s="33" t="s">
        <v>440</v>
      </c>
      <c r="D573" s="34" t="s">
        <v>444</v>
      </c>
      <c r="E573" s="34"/>
      <c r="F573" s="38">
        <f>F574</f>
        <v>130784758</v>
      </c>
      <c r="G573" s="38">
        <f>G574</f>
        <v>6092487.99</v>
      </c>
      <c r="H573" s="36">
        <f t="shared" si="34"/>
        <v>136877245.99</v>
      </c>
    </row>
    <row r="574" spans="1:8" s="16" customFormat="1" ht="31.5">
      <c r="A574" s="37" t="s">
        <v>74</v>
      </c>
      <c r="B574" s="33" t="s">
        <v>438</v>
      </c>
      <c r="C574" s="33" t="s">
        <v>440</v>
      </c>
      <c r="D574" s="34" t="s">
        <v>444</v>
      </c>
      <c r="E574" s="34">
        <v>600</v>
      </c>
      <c r="F574" s="38">
        <f>F575</f>
        <v>130784758</v>
      </c>
      <c r="G574" s="38">
        <f>G575</f>
        <v>6092487.99</v>
      </c>
      <c r="H574" s="36">
        <f t="shared" si="34"/>
        <v>136877245.99</v>
      </c>
    </row>
    <row r="575" spans="1:8" s="16" customFormat="1" ht="15.75">
      <c r="A575" s="37" t="s">
        <v>75</v>
      </c>
      <c r="B575" s="33" t="s">
        <v>438</v>
      </c>
      <c r="C575" s="33" t="s">
        <v>440</v>
      </c>
      <c r="D575" s="34" t="s">
        <v>444</v>
      </c>
      <c r="E575" s="34">
        <v>610</v>
      </c>
      <c r="F575" s="38">
        <v>130784758</v>
      </c>
      <c r="G575" s="38">
        <f>2127728.99+3964759</f>
        <v>6092487.99</v>
      </c>
      <c r="H575" s="36">
        <f t="shared" si="34"/>
        <v>136877245.99</v>
      </c>
    </row>
    <row r="576" spans="1:8" s="16" customFormat="1" ht="47.25">
      <c r="A576" s="51" t="s">
        <v>445</v>
      </c>
      <c r="B576" s="33" t="s">
        <v>438</v>
      </c>
      <c r="C576" s="33" t="s">
        <v>440</v>
      </c>
      <c r="D576" s="34" t="s">
        <v>446</v>
      </c>
      <c r="E576" s="34"/>
      <c r="F576" s="38">
        <f>F577</f>
        <v>3000000</v>
      </c>
      <c r="G576" s="38">
        <f>G577</f>
        <v>0</v>
      </c>
      <c r="H576" s="36">
        <f t="shared" si="34"/>
        <v>3000000</v>
      </c>
    </row>
    <row r="577" spans="1:8" s="16" customFormat="1" ht="31.5">
      <c r="A577" s="37" t="s">
        <v>74</v>
      </c>
      <c r="B577" s="33" t="s">
        <v>438</v>
      </c>
      <c r="C577" s="33" t="s">
        <v>440</v>
      </c>
      <c r="D577" s="34" t="s">
        <v>446</v>
      </c>
      <c r="E577" s="34">
        <v>600</v>
      </c>
      <c r="F577" s="38">
        <f>F578</f>
        <v>3000000</v>
      </c>
      <c r="G577" s="38">
        <f>G578</f>
        <v>0</v>
      </c>
      <c r="H577" s="36">
        <f t="shared" si="34"/>
        <v>3000000</v>
      </c>
    </row>
    <row r="578" spans="1:8" s="16" customFormat="1" ht="15.75">
      <c r="A578" s="37" t="s">
        <v>75</v>
      </c>
      <c r="B578" s="33" t="s">
        <v>438</v>
      </c>
      <c r="C578" s="33" t="s">
        <v>440</v>
      </c>
      <c r="D578" s="34" t="s">
        <v>446</v>
      </c>
      <c r="E578" s="34">
        <v>610</v>
      </c>
      <c r="F578" s="38">
        <v>3000000</v>
      </c>
      <c r="G578" s="38">
        <v>0</v>
      </c>
      <c r="H578" s="36">
        <f t="shared" si="34"/>
        <v>3000000</v>
      </c>
    </row>
    <row r="579" spans="1:8" s="16" customFormat="1" ht="15.75">
      <c r="A579" s="26" t="s">
        <v>447</v>
      </c>
      <c r="B579" s="28" t="s">
        <v>438</v>
      </c>
      <c r="C579" s="28" t="s">
        <v>342</v>
      </c>
      <c r="D579" s="34"/>
      <c r="E579" s="34"/>
      <c r="F579" s="45">
        <f>F580+F587</f>
        <v>8950000</v>
      </c>
      <c r="G579" s="45">
        <f>G580+G587</f>
        <v>752800</v>
      </c>
      <c r="H579" s="30">
        <f t="shared" si="34"/>
        <v>9702800</v>
      </c>
    </row>
    <row r="580" spans="1:8" s="16" customFormat="1" ht="15.75">
      <c r="A580" s="37" t="s">
        <v>448</v>
      </c>
      <c r="B580" s="33" t="s">
        <v>438</v>
      </c>
      <c r="C580" s="33" t="s">
        <v>342</v>
      </c>
      <c r="D580" s="34" t="s">
        <v>449</v>
      </c>
      <c r="E580" s="34"/>
      <c r="F580" s="38">
        <f>SUM(F581,F584)</f>
        <v>8800000</v>
      </c>
      <c r="G580" s="38">
        <f>SUM(G581,G584)</f>
        <v>752800</v>
      </c>
      <c r="H580" s="36">
        <f t="shared" si="34"/>
        <v>9552800</v>
      </c>
    </row>
    <row r="581" spans="1:8" s="16" customFormat="1" ht="31.5">
      <c r="A581" s="37" t="s">
        <v>450</v>
      </c>
      <c r="B581" s="33" t="s">
        <v>438</v>
      </c>
      <c r="C581" s="33" t="s">
        <v>342</v>
      </c>
      <c r="D581" s="34" t="s">
        <v>451</v>
      </c>
      <c r="E581" s="34"/>
      <c r="F581" s="38">
        <f>F582</f>
        <v>600000</v>
      </c>
      <c r="G581" s="38">
        <f>G582</f>
        <v>158100</v>
      </c>
      <c r="H581" s="36">
        <f t="shared" si="34"/>
        <v>758100</v>
      </c>
    </row>
    <row r="582" spans="1:8" s="16" customFormat="1" ht="31.5">
      <c r="A582" s="37" t="s">
        <v>74</v>
      </c>
      <c r="B582" s="33" t="s">
        <v>438</v>
      </c>
      <c r="C582" s="33" t="s">
        <v>342</v>
      </c>
      <c r="D582" s="34" t="s">
        <v>451</v>
      </c>
      <c r="E582" s="34">
        <v>600</v>
      </c>
      <c r="F582" s="38">
        <f>F583</f>
        <v>600000</v>
      </c>
      <c r="G582" s="38">
        <f>G583</f>
        <v>158100</v>
      </c>
      <c r="H582" s="36">
        <f t="shared" si="34"/>
        <v>758100</v>
      </c>
    </row>
    <row r="583" spans="1:8" s="16" customFormat="1" ht="15.75">
      <c r="A583" s="37" t="s">
        <v>75</v>
      </c>
      <c r="B583" s="33" t="s">
        <v>438</v>
      </c>
      <c r="C583" s="33" t="s">
        <v>342</v>
      </c>
      <c r="D583" s="34" t="s">
        <v>451</v>
      </c>
      <c r="E583" s="34">
        <v>610</v>
      </c>
      <c r="F583" s="42">
        <v>600000</v>
      </c>
      <c r="G583" s="42">
        <v>158100</v>
      </c>
      <c r="H583" s="36">
        <f t="shared" si="34"/>
        <v>758100</v>
      </c>
    </row>
    <row r="584" spans="1:8" s="16" customFormat="1" ht="31.5">
      <c r="A584" s="37" t="s">
        <v>452</v>
      </c>
      <c r="B584" s="33" t="s">
        <v>438</v>
      </c>
      <c r="C584" s="33" t="s">
        <v>342</v>
      </c>
      <c r="D584" s="34" t="s">
        <v>453</v>
      </c>
      <c r="E584" s="34"/>
      <c r="F584" s="42">
        <f>F585</f>
        <v>8200000</v>
      </c>
      <c r="G584" s="42">
        <f>G585</f>
        <v>594700</v>
      </c>
      <c r="H584" s="36">
        <f t="shared" si="34"/>
        <v>8794700</v>
      </c>
    </row>
    <row r="585" spans="1:8" s="16" customFormat="1" ht="31.5">
      <c r="A585" s="37" t="s">
        <v>74</v>
      </c>
      <c r="B585" s="33" t="s">
        <v>438</v>
      </c>
      <c r="C585" s="33" t="s">
        <v>342</v>
      </c>
      <c r="D585" s="34" t="s">
        <v>453</v>
      </c>
      <c r="E585" s="34">
        <v>600</v>
      </c>
      <c r="F585" s="42">
        <f>F586</f>
        <v>8200000</v>
      </c>
      <c r="G585" s="42">
        <f>G586</f>
        <v>594700</v>
      </c>
      <c r="H585" s="36">
        <f t="shared" si="34"/>
        <v>8794700</v>
      </c>
    </row>
    <row r="586" spans="1:8" s="16" customFormat="1" ht="15.75">
      <c r="A586" s="37" t="s">
        <v>75</v>
      </c>
      <c r="B586" s="33" t="s">
        <v>438</v>
      </c>
      <c r="C586" s="33" t="s">
        <v>342</v>
      </c>
      <c r="D586" s="34" t="s">
        <v>453</v>
      </c>
      <c r="E586" s="34">
        <v>610</v>
      </c>
      <c r="F586" s="42">
        <v>8200000</v>
      </c>
      <c r="G586" s="42">
        <v>594700</v>
      </c>
      <c r="H586" s="36">
        <f t="shared" si="34"/>
        <v>8794700</v>
      </c>
    </row>
    <row r="587" spans="1:8" s="22" customFormat="1" ht="47.25">
      <c r="A587" s="37" t="s">
        <v>76</v>
      </c>
      <c r="B587" s="33" t="s">
        <v>438</v>
      </c>
      <c r="C587" s="33" t="s">
        <v>342</v>
      </c>
      <c r="D587" s="34" t="s">
        <v>77</v>
      </c>
      <c r="E587" s="34"/>
      <c r="F587" s="38">
        <f aca="true" t="shared" si="37" ref="F587:G590">F588</f>
        <v>150000</v>
      </c>
      <c r="G587" s="38">
        <f t="shared" si="37"/>
        <v>0</v>
      </c>
      <c r="H587" s="36">
        <f t="shared" si="34"/>
        <v>150000</v>
      </c>
    </row>
    <row r="588" spans="1:8" s="22" customFormat="1" ht="47.25">
      <c r="A588" s="51" t="s">
        <v>78</v>
      </c>
      <c r="B588" s="33" t="s">
        <v>438</v>
      </c>
      <c r="C588" s="33" t="s">
        <v>342</v>
      </c>
      <c r="D588" s="34" t="s">
        <v>79</v>
      </c>
      <c r="E588" s="34"/>
      <c r="F588" s="38">
        <f t="shared" si="37"/>
        <v>150000</v>
      </c>
      <c r="G588" s="38">
        <f t="shared" si="37"/>
        <v>0</v>
      </c>
      <c r="H588" s="36">
        <f t="shared" si="34"/>
        <v>150000</v>
      </c>
    </row>
    <row r="589" spans="1:8" s="22" customFormat="1" ht="31.5">
      <c r="A589" s="51" t="s">
        <v>454</v>
      </c>
      <c r="B589" s="33" t="s">
        <v>438</v>
      </c>
      <c r="C589" s="33" t="s">
        <v>342</v>
      </c>
      <c r="D589" s="34" t="s">
        <v>455</v>
      </c>
      <c r="E589" s="34"/>
      <c r="F589" s="38">
        <f t="shared" si="37"/>
        <v>150000</v>
      </c>
      <c r="G589" s="38">
        <f t="shared" si="37"/>
        <v>0</v>
      </c>
      <c r="H589" s="36">
        <f t="shared" si="34"/>
        <v>150000</v>
      </c>
    </row>
    <row r="590" spans="1:8" s="22" customFormat="1" ht="31.5">
      <c r="A590" s="37" t="s">
        <v>74</v>
      </c>
      <c r="B590" s="33" t="s">
        <v>438</v>
      </c>
      <c r="C590" s="33" t="s">
        <v>342</v>
      </c>
      <c r="D590" s="34" t="s">
        <v>455</v>
      </c>
      <c r="E590" s="34">
        <v>600</v>
      </c>
      <c r="F590" s="38">
        <f t="shared" si="37"/>
        <v>150000</v>
      </c>
      <c r="G590" s="38">
        <f t="shared" si="37"/>
        <v>0</v>
      </c>
      <c r="H590" s="36">
        <f t="shared" si="34"/>
        <v>150000</v>
      </c>
    </row>
    <row r="591" spans="1:8" s="22" customFormat="1" ht="16.5">
      <c r="A591" s="37" t="s">
        <v>75</v>
      </c>
      <c r="B591" s="33" t="s">
        <v>438</v>
      </c>
      <c r="C591" s="33" t="s">
        <v>342</v>
      </c>
      <c r="D591" s="34" t="s">
        <v>455</v>
      </c>
      <c r="E591" s="34">
        <v>610</v>
      </c>
      <c r="F591" s="38">
        <v>150000</v>
      </c>
      <c r="G591" s="38">
        <v>0</v>
      </c>
      <c r="H591" s="36">
        <f t="shared" si="34"/>
        <v>150000</v>
      </c>
    </row>
    <row r="592" spans="1:8" s="22" customFormat="1" ht="16.5">
      <c r="A592" s="23" t="s">
        <v>347</v>
      </c>
      <c r="B592" s="24" t="s">
        <v>438</v>
      </c>
      <c r="C592" s="24" t="s">
        <v>348</v>
      </c>
      <c r="D592" s="34"/>
      <c r="E592" s="34"/>
      <c r="F592" s="55">
        <f>SUM(F593,F658,F664)</f>
        <v>255715947.78</v>
      </c>
      <c r="G592" s="55">
        <f>SUM(G593,G658,G664)</f>
        <v>23150942.08</v>
      </c>
      <c r="H592" s="21">
        <f t="shared" si="34"/>
        <v>278866889.86</v>
      </c>
    </row>
    <row r="593" spans="1:8" s="22" customFormat="1" ht="16.5">
      <c r="A593" s="26" t="s">
        <v>349</v>
      </c>
      <c r="B593" s="28" t="s">
        <v>438</v>
      </c>
      <c r="C593" s="28" t="s">
        <v>350</v>
      </c>
      <c r="D593" s="34"/>
      <c r="E593" s="34"/>
      <c r="F593" s="45">
        <f>F594+F650</f>
        <v>209209947.78</v>
      </c>
      <c r="G593" s="45">
        <f>G594+G650</f>
        <v>20316696.08</v>
      </c>
      <c r="H593" s="30">
        <f t="shared" si="34"/>
        <v>229526643.86</v>
      </c>
    </row>
    <row r="594" spans="1:8" s="22" customFormat="1" ht="31.5">
      <c r="A594" s="37" t="s">
        <v>351</v>
      </c>
      <c r="B594" s="33" t="s">
        <v>438</v>
      </c>
      <c r="C594" s="33" t="s">
        <v>350</v>
      </c>
      <c r="D594" s="34" t="s">
        <v>352</v>
      </c>
      <c r="E594" s="34"/>
      <c r="F594" s="38">
        <f>SUM(F595,F624,F640)</f>
        <v>208609947.78</v>
      </c>
      <c r="G594" s="38">
        <f>SUM(G595,G624,G640)</f>
        <v>20312992.08</v>
      </c>
      <c r="H594" s="36">
        <f t="shared" si="34"/>
        <v>228922939.86</v>
      </c>
    </row>
    <row r="595" spans="1:8" s="22" customFormat="1" ht="38.25" customHeight="1">
      <c r="A595" s="51" t="s">
        <v>353</v>
      </c>
      <c r="B595" s="33" t="s">
        <v>438</v>
      </c>
      <c r="C595" s="33" t="s">
        <v>350</v>
      </c>
      <c r="D595" s="34" t="s">
        <v>354</v>
      </c>
      <c r="E595" s="34"/>
      <c r="F595" s="38">
        <f>SUM(F599,F603,F607,F611,F614,F618,F621,F596)</f>
        <v>123410000</v>
      </c>
      <c r="G595" s="38">
        <f>SUM(G599,G603,G607,G611,G614,G618,G621,G596)</f>
        <v>8440958.09</v>
      </c>
      <c r="H595" s="36">
        <f t="shared" si="34"/>
        <v>131850958.09</v>
      </c>
    </row>
    <row r="596" spans="1:8" s="22" customFormat="1" ht="79.5" customHeight="1">
      <c r="A596" s="51" t="s">
        <v>456</v>
      </c>
      <c r="B596" s="33" t="s">
        <v>438</v>
      </c>
      <c r="C596" s="33" t="s">
        <v>350</v>
      </c>
      <c r="D596" s="34" t="s">
        <v>457</v>
      </c>
      <c r="E596" s="34"/>
      <c r="F596" s="38">
        <f>F597</f>
        <v>0</v>
      </c>
      <c r="G596" s="38">
        <f>G597</f>
        <v>153000</v>
      </c>
      <c r="H596" s="36">
        <f t="shared" si="34"/>
        <v>153000</v>
      </c>
    </row>
    <row r="597" spans="1:8" s="22" customFormat="1" ht="31.5">
      <c r="A597" s="37" t="s">
        <v>74</v>
      </c>
      <c r="B597" s="33" t="s">
        <v>438</v>
      </c>
      <c r="C597" s="33" t="s">
        <v>350</v>
      </c>
      <c r="D597" s="34" t="s">
        <v>457</v>
      </c>
      <c r="E597" s="34">
        <v>600</v>
      </c>
      <c r="F597" s="38">
        <f>F598</f>
        <v>0</v>
      </c>
      <c r="G597" s="38">
        <f>G598</f>
        <v>153000</v>
      </c>
      <c r="H597" s="36">
        <f t="shared" si="34"/>
        <v>153000</v>
      </c>
    </row>
    <row r="598" spans="1:8" s="22" customFormat="1" ht="16.5">
      <c r="A598" s="37" t="s">
        <v>75</v>
      </c>
      <c r="B598" s="33" t="s">
        <v>438</v>
      </c>
      <c r="C598" s="33" t="s">
        <v>350</v>
      </c>
      <c r="D598" s="34" t="s">
        <v>457</v>
      </c>
      <c r="E598" s="34">
        <v>610</v>
      </c>
      <c r="F598" s="38">
        <v>0</v>
      </c>
      <c r="G598" s="38">
        <v>153000</v>
      </c>
      <c r="H598" s="36">
        <f t="shared" si="34"/>
        <v>153000</v>
      </c>
    </row>
    <row r="599" spans="1:8" s="39" customFormat="1" ht="15.75">
      <c r="A599" s="51" t="s">
        <v>458</v>
      </c>
      <c r="B599" s="33" t="s">
        <v>438</v>
      </c>
      <c r="C599" s="33" t="s">
        <v>350</v>
      </c>
      <c r="D599" s="34" t="s">
        <v>459</v>
      </c>
      <c r="E599" s="34"/>
      <c r="F599" s="38">
        <f>SUM(F600)</f>
        <v>5000000</v>
      </c>
      <c r="G599" s="38">
        <f>SUM(G600)</f>
        <v>505965</v>
      </c>
      <c r="H599" s="36">
        <f t="shared" si="34"/>
        <v>5505965</v>
      </c>
    </row>
    <row r="600" spans="1:8" s="39" customFormat="1" ht="31.5">
      <c r="A600" s="37" t="s">
        <v>74</v>
      </c>
      <c r="B600" s="33" t="s">
        <v>438</v>
      </c>
      <c r="C600" s="33" t="s">
        <v>350</v>
      </c>
      <c r="D600" s="34" t="s">
        <v>459</v>
      </c>
      <c r="E600" s="34">
        <v>600</v>
      </c>
      <c r="F600" s="38">
        <f>SUM(F601:F602)</f>
        <v>5000000</v>
      </c>
      <c r="G600" s="38">
        <f>SUM(G601:G602)</f>
        <v>505965</v>
      </c>
      <c r="H600" s="36">
        <f t="shared" si="34"/>
        <v>5505965</v>
      </c>
    </row>
    <row r="601" spans="1:8" s="39" customFormat="1" ht="15.75">
      <c r="A601" s="37" t="s">
        <v>75</v>
      </c>
      <c r="B601" s="33" t="s">
        <v>438</v>
      </c>
      <c r="C601" s="33" t="s">
        <v>350</v>
      </c>
      <c r="D601" s="34" t="s">
        <v>459</v>
      </c>
      <c r="E601" s="34">
        <v>610</v>
      </c>
      <c r="F601" s="38">
        <v>3600000</v>
      </c>
      <c r="G601" s="38">
        <f>292290+200000</f>
        <v>492290</v>
      </c>
      <c r="H601" s="36">
        <f t="shared" si="34"/>
        <v>4092290</v>
      </c>
    </row>
    <row r="602" spans="1:8" s="39" customFormat="1" ht="15.75">
      <c r="A602" s="37" t="s">
        <v>310</v>
      </c>
      <c r="B602" s="33" t="s">
        <v>438</v>
      </c>
      <c r="C602" s="33" t="s">
        <v>350</v>
      </c>
      <c r="D602" s="34" t="s">
        <v>459</v>
      </c>
      <c r="E602" s="34">
        <v>620</v>
      </c>
      <c r="F602" s="38">
        <v>1400000</v>
      </c>
      <c r="G602" s="38">
        <v>13675</v>
      </c>
      <c r="H602" s="36">
        <f t="shared" si="34"/>
        <v>1413675</v>
      </c>
    </row>
    <row r="603" spans="1:8" s="39" customFormat="1" ht="31.5">
      <c r="A603" s="51" t="s">
        <v>460</v>
      </c>
      <c r="B603" s="33" t="s">
        <v>438</v>
      </c>
      <c r="C603" s="33" t="s">
        <v>350</v>
      </c>
      <c r="D603" s="34" t="s">
        <v>461</v>
      </c>
      <c r="E603" s="34"/>
      <c r="F603" s="38">
        <f>F604</f>
        <v>107410000</v>
      </c>
      <c r="G603" s="38">
        <f>G604</f>
        <v>4417436.28</v>
      </c>
      <c r="H603" s="36">
        <f aca="true" t="shared" si="38" ref="H603:H666">SUM(F603:G603)</f>
        <v>111827436.28</v>
      </c>
    </row>
    <row r="604" spans="1:8" s="39" customFormat="1" ht="31.5">
      <c r="A604" s="37" t="s">
        <v>74</v>
      </c>
      <c r="B604" s="33" t="s">
        <v>438</v>
      </c>
      <c r="C604" s="33" t="s">
        <v>350</v>
      </c>
      <c r="D604" s="34" t="s">
        <v>461</v>
      </c>
      <c r="E604" s="34">
        <v>600</v>
      </c>
      <c r="F604" s="38">
        <f>F605+F606</f>
        <v>107410000</v>
      </c>
      <c r="G604" s="38">
        <f>G605+G606</f>
        <v>4417436.28</v>
      </c>
      <c r="H604" s="36">
        <f t="shared" si="38"/>
        <v>111827436.28</v>
      </c>
    </row>
    <row r="605" spans="1:8" s="39" customFormat="1" ht="15.75">
      <c r="A605" s="37" t="s">
        <v>75</v>
      </c>
      <c r="B605" s="33" t="s">
        <v>438</v>
      </c>
      <c r="C605" s="33" t="s">
        <v>350</v>
      </c>
      <c r="D605" s="34" t="s">
        <v>461</v>
      </c>
      <c r="E605" s="34">
        <v>610</v>
      </c>
      <c r="F605" s="42">
        <v>59840000</v>
      </c>
      <c r="G605" s="42">
        <f>1258472.28+65000+3093964</f>
        <v>4417436.28</v>
      </c>
      <c r="H605" s="36">
        <f t="shared" si="38"/>
        <v>64257436.28</v>
      </c>
    </row>
    <row r="606" spans="1:8" s="39" customFormat="1" ht="15.75">
      <c r="A606" s="37" t="s">
        <v>310</v>
      </c>
      <c r="B606" s="33" t="s">
        <v>438</v>
      </c>
      <c r="C606" s="33" t="s">
        <v>350</v>
      </c>
      <c r="D606" s="34" t="s">
        <v>461</v>
      </c>
      <c r="E606" s="34">
        <v>620</v>
      </c>
      <c r="F606" s="42">
        <v>47570000</v>
      </c>
      <c r="G606" s="42">
        <v>0</v>
      </c>
      <c r="H606" s="36">
        <f t="shared" si="38"/>
        <v>47570000</v>
      </c>
    </row>
    <row r="607" spans="1:8" s="39" customFormat="1" ht="47.25">
      <c r="A607" s="51" t="s">
        <v>462</v>
      </c>
      <c r="B607" s="33" t="s">
        <v>438</v>
      </c>
      <c r="C607" s="33" t="s">
        <v>350</v>
      </c>
      <c r="D607" s="34" t="s">
        <v>463</v>
      </c>
      <c r="E607" s="34"/>
      <c r="F607" s="38">
        <f>F608</f>
        <v>4000000</v>
      </c>
      <c r="G607" s="38">
        <f>G608</f>
        <v>3489556.81</v>
      </c>
      <c r="H607" s="36">
        <f t="shared" si="38"/>
        <v>7489556.8100000005</v>
      </c>
    </row>
    <row r="608" spans="1:8" s="39" customFormat="1" ht="31.5">
      <c r="A608" s="37" t="s">
        <v>74</v>
      </c>
      <c r="B608" s="33" t="s">
        <v>438</v>
      </c>
      <c r="C608" s="33" t="s">
        <v>350</v>
      </c>
      <c r="D608" s="34" t="s">
        <v>463</v>
      </c>
      <c r="E608" s="34">
        <v>600</v>
      </c>
      <c r="F608" s="38">
        <f>F609+F610</f>
        <v>4000000</v>
      </c>
      <c r="G608" s="38">
        <f>G609+G610</f>
        <v>3489556.81</v>
      </c>
      <c r="H608" s="36">
        <f t="shared" si="38"/>
        <v>7489556.8100000005</v>
      </c>
    </row>
    <row r="609" spans="1:8" s="39" customFormat="1" ht="15.75">
      <c r="A609" s="37" t="s">
        <v>75</v>
      </c>
      <c r="B609" s="33" t="s">
        <v>438</v>
      </c>
      <c r="C609" s="33" t="s">
        <v>350</v>
      </c>
      <c r="D609" s="34" t="s">
        <v>463</v>
      </c>
      <c r="E609" s="34">
        <v>610</v>
      </c>
      <c r="F609" s="38">
        <v>3000000</v>
      </c>
      <c r="G609" s="38">
        <f>500000+2124000+60000</f>
        <v>2684000</v>
      </c>
      <c r="H609" s="36">
        <f t="shared" si="38"/>
        <v>5684000</v>
      </c>
    </row>
    <row r="610" spans="1:8" s="39" customFormat="1" ht="15.75">
      <c r="A610" s="37" t="s">
        <v>310</v>
      </c>
      <c r="B610" s="33" t="s">
        <v>438</v>
      </c>
      <c r="C610" s="33" t="s">
        <v>350</v>
      </c>
      <c r="D610" s="34" t="s">
        <v>463</v>
      </c>
      <c r="E610" s="34">
        <v>620</v>
      </c>
      <c r="F610" s="38">
        <v>1000000</v>
      </c>
      <c r="G610" s="38">
        <f>205556.81+600000</f>
        <v>805556.81</v>
      </c>
      <c r="H610" s="36">
        <f t="shared" si="38"/>
        <v>1805556.81</v>
      </c>
    </row>
    <row r="611" spans="1:8" s="39" customFormat="1" ht="47.25">
      <c r="A611" s="51" t="s">
        <v>464</v>
      </c>
      <c r="B611" s="33" t="s">
        <v>438</v>
      </c>
      <c r="C611" s="33" t="s">
        <v>350</v>
      </c>
      <c r="D611" s="34" t="s">
        <v>465</v>
      </c>
      <c r="E611" s="34"/>
      <c r="F611" s="38">
        <f>F612</f>
        <v>6000000</v>
      </c>
      <c r="G611" s="38">
        <f>G612</f>
        <v>0</v>
      </c>
      <c r="H611" s="36">
        <f t="shared" si="38"/>
        <v>6000000</v>
      </c>
    </row>
    <row r="612" spans="1:8" s="16" customFormat="1" ht="15.75">
      <c r="A612" s="37" t="s">
        <v>36</v>
      </c>
      <c r="B612" s="33" t="s">
        <v>438</v>
      </c>
      <c r="C612" s="33" t="s">
        <v>350</v>
      </c>
      <c r="D612" s="34" t="s">
        <v>465</v>
      </c>
      <c r="E612" s="34">
        <v>800</v>
      </c>
      <c r="F612" s="38">
        <f>F613</f>
        <v>6000000</v>
      </c>
      <c r="G612" s="38">
        <f>G613</f>
        <v>0</v>
      </c>
      <c r="H612" s="36">
        <f t="shared" si="38"/>
        <v>6000000</v>
      </c>
    </row>
    <row r="613" spans="1:8" s="39" customFormat="1" ht="63">
      <c r="A613" s="37" t="s">
        <v>161</v>
      </c>
      <c r="B613" s="33" t="s">
        <v>438</v>
      </c>
      <c r="C613" s="33" t="s">
        <v>350</v>
      </c>
      <c r="D613" s="34" t="s">
        <v>465</v>
      </c>
      <c r="E613" s="34">
        <v>810</v>
      </c>
      <c r="F613" s="38">
        <v>6000000</v>
      </c>
      <c r="G613" s="38">
        <v>0</v>
      </c>
      <c r="H613" s="36">
        <f t="shared" si="38"/>
        <v>6000000</v>
      </c>
    </row>
    <row r="614" spans="1:8" s="39" customFormat="1" ht="31.5">
      <c r="A614" s="37" t="s">
        <v>466</v>
      </c>
      <c r="B614" s="33" t="s">
        <v>438</v>
      </c>
      <c r="C614" s="33" t="s">
        <v>350</v>
      </c>
      <c r="D614" s="34" t="s">
        <v>467</v>
      </c>
      <c r="E614" s="34"/>
      <c r="F614" s="38">
        <f>F615</f>
        <v>300000</v>
      </c>
      <c r="G614" s="38">
        <f>G615</f>
        <v>0</v>
      </c>
      <c r="H614" s="36">
        <f t="shared" si="38"/>
        <v>300000</v>
      </c>
    </row>
    <row r="615" spans="1:8" ht="31.5">
      <c r="A615" s="37" t="s">
        <v>74</v>
      </c>
      <c r="B615" s="33" t="s">
        <v>438</v>
      </c>
      <c r="C615" s="33" t="s">
        <v>350</v>
      </c>
      <c r="D615" s="34" t="s">
        <v>467</v>
      </c>
      <c r="E615" s="34">
        <v>600</v>
      </c>
      <c r="F615" s="38">
        <f>F616+F617</f>
        <v>300000</v>
      </c>
      <c r="G615" s="38">
        <f>G616+G617</f>
        <v>0</v>
      </c>
      <c r="H615" s="36">
        <f t="shared" si="38"/>
        <v>300000</v>
      </c>
    </row>
    <row r="616" spans="1:8" ht="15.75">
      <c r="A616" s="37" t="s">
        <v>75</v>
      </c>
      <c r="B616" s="33" t="s">
        <v>438</v>
      </c>
      <c r="C616" s="33" t="s">
        <v>350</v>
      </c>
      <c r="D616" s="34" t="s">
        <v>467</v>
      </c>
      <c r="E616" s="34">
        <v>610</v>
      </c>
      <c r="F616" s="38">
        <v>200000</v>
      </c>
      <c r="G616" s="38">
        <v>0</v>
      </c>
      <c r="H616" s="36">
        <f t="shared" si="38"/>
        <v>200000</v>
      </c>
    </row>
    <row r="617" spans="1:8" ht="15.75">
      <c r="A617" s="37" t="s">
        <v>310</v>
      </c>
      <c r="B617" s="33" t="s">
        <v>438</v>
      </c>
      <c r="C617" s="33" t="s">
        <v>350</v>
      </c>
      <c r="D617" s="34" t="s">
        <v>467</v>
      </c>
      <c r="E617" s="34">
        <v>620</v>
      </c>
      <c r="F617" s="38">
        <v>100000</v>
      </c>
      <c r="G617" s="38">
        <v>0</v>
      </c>
      <c r="H617" s="36">
        <f t="shared" si="38"/>
        <v>100000</v>
      </c>
    </row>
    <row r="618" spans="1:8" ht="31.5">
      <c r="A618" s="51" t="s">
        <v>468</v>
      </c>
      <c r="B618" s="33" t="s">
        <v>438</v>
      </c>
      <c r="C618" s="33" t="s">
        <v>350</v>
      </c>
      <c r="D618" s="34" t="s">
        <v>469</v>
      </c>
      <c r="E618" s="34"/>
      <c r="F618" s="42">
        <f>F619</f>
        <v>500000</v>
      </c>
      <c r="G618" s="42">
        <f>G619</f>
        <v>-125000</v>
      </c>
      <c r="H618" s="36">
        <f t="shared" si="38"/>
        <v>375000</v>
      </c>
    </row>
    <row r="619" spans="1:8" ht="31.5">
      <c r="A619" s="37" t="s">
        <v>74</v>
      </c>
      <c r="B619" s="33" t="s">
        <v>438</v>
      </c>
      <c r="C619" s="33" t="s">
        <v>350</v>
      </c>
      <c r="D619" s="34" t="s">
        <v>469</v>
      </c>
      <c r="E619" s="34">
        <v>600</v>
      </c>
      <c r="F619" s="42">
        <f>F620</f>
        <v>500000</v>
      </c>
      <c r="G619" s="42">
        <f>G620</f>
        <v>-125000</v>
      </c>
      <c r="H619" s="36">
        <f t="shared" si="38"/>
        <v>375000</v>
      </c>
    </row>
    <row r="620" spans="1:8" ht="15.75">
      <c r="A620" s="37" t="s">
        <v>75</v>
      </c>
      <c r="B620" s="33" t="s">
        <v>438</v>
      </c>
      <c r="C620" s="33" t="s">
        <v>350</v>
      </c>
      <c r="D620" s="34" t="s">
        <v>469</v>
      </c>
      <c r="E620" s="34">
        <v>610</v>
      </c>
      <c r="F620" s="42">
        <v>500000</v>
      </c>
      <c r="G620" s="42">
        <f>-65000-60000</f>
        <v>-125000</v>
      </c>
      <c r="H620" s="36">
        <f t="shared" si="38"/>
        <v>375000</v>
      </c>
    </row>
    <row r="621" spans="1:8" ht="15.75">
      <c r="A621" s="37" t="s">
        <v>470</v>
      </c>
      <c r="B621" s="33" t="s">
        <v>438</v>
      </c>
      <c r="C621" s="33" t="s">
        <v>350</v>
      </c>
      <c r="D621" s="34" t="s">
        <v>471</v>
      </c>
      <c r="E621" s="34"/>
      <c r="F621" s="42">
        <f>F622</f>
        <v>200000</v>
      </c>
      <c r="G621" s="42">
        <f>G622</f>
        <v>0</v>
      </c>
      <c r="H621" s="36">
        <f t="shared" si="38"/>
        <v>200000</v>
      </c>
    </row>
    <row r="622" spans="1:8" ht="31.5">
      <c r="A622" s="37" t="s">
        <v>74</v>
      </c>
      <c r="B622" s="33" t="s">
        <v>438</v>
      </c>
      <c r="C622" s="33" t="s">
        <v>350</v>
      </c>
      <c r="D622" s="34" t="s">
        <v>471</v>
      </c>
      <c r="E622" s="34">
        <v>600</v>
      </c>
      <c r="F622" s="42">
        <f>F623</f>
        <v>200000</v>
      </c>
      <c r="G622" s="42">
        <f>G623</f>
        <v>0</v>
      </c>
      <c r="H622" s="36">
        <f t="shared" si="38"/>
        <v>200000</v>
      </c>
    </row>
    <row r="623" spans="1:8" ht="15.75">
      <c r="A623" s="37" t="s">
        <v>75</v>
      </c>
      <c r="B623" s="33" t="s">
        <v>438</v>
      </c>
      <c r="C623" s="33" t="s">
        <v>350</v>
      </c>
      <c r="D623" s="34" t="s">
        <v>471</v>
      </c>
      <c r="E623" s="34">
        <v>610</v>
      </c>
      <c r="F623" s="42">
        <v>200000</v>
      </c>
      <c r="G623" s="42">
        <v>0</v>
      </c>
      <c r="H623" s="36">
        <f t="shared" si="38"/>
        <v>200000</v>
      </c>
    </row>
    <row r="624" spans="1:8" ht="31.5">
      <c r="A624" s="51" t="s">
        <v>472</v>
      </c>
      <c r="B624" s="33" t="s">
        <v>438</v>
      </c>
      <c r="C624" s="33" t="s">
        <v>350</v>
      </c>
      <c r="D624" s="34" t="s">
        <v>473</v>
      </c>
      <c r="E624" s="34"/>
      <c r="F624" s="38">
        <f>SUM(F625,F628,F634,F637,F631)</f>
        <v>56169947.78</v>
      </c>
      <c r="G624" s="38">
        <f>SUM(G625,G628,G634,G637,G631)</f>
        <v>3752677</v>
      </c>
      <c r="H624" s="36">
        <f t="shared" si="38"/>
        <v>59922624.78</v>
      </c>
    </row>
    <row r="625" spans="1:8" ht="31.5">
      <c r="A625" s="51" t="s">
        <v>474</v>
      </c>
      <c r="B625" s="33" t="s">
        <v>438</v>
      </c>
      <c r="C625" s="33" t="s">
        <v>350</v>
      </c>
      <c r="D625" s="34" t="s">
        <v>475</v>
      </c>
      <c r="E625" s="34"/>
      <c r="F625" s="38">
        <f>F626</f>
        <v>53200000</v>
      </c>
      <c r="G625" s="38">
        <f>G626</f>
        <v>3507677</v>
      </c>
      <c r="H625" s="36">
        <f t="shared" si="38"/>
        <v>56707677</v>
      </c>
    </row>
    <row r="626" spans="1:8" ht="31.5">
      <c r="A626" s="37" t="s">
        <v>74</v>
      </c>
      <c r="B626" s="33" t="s">
        <v>438</v>
      </c>
      <c r="C626" s="33" t="s">
        <v>350</v>
      </c>
      <c r="D626" s="34" t="s">
        <v>475</v>
      </c>
      <c r="E626" s="34">
        <v>600</v>
      </c>
      <c r="F626" s="38">
        <f>F627</f>
        <v>53200000</v>
      </c>
      <c r="G626" s="38">
        <f>G627</f>
        <v>3507677</v>
      </c>
      <c r="H626" s="36">
        <f t="shared" si="38"/>
        <v>56707677</v>
      </c>
    </row>
    <row r="627" spans="1:8" ht="15.75">
      <c r="A627" s="37" t="s">
        <v>75</v>
      </c>
      <c r="B627" s="33" t="s">
        <v>438</v>
      </c>
      <c r="C627" s="33" t="s">
        <v>350</v>
      </c>
      <c r="D627" s="34" t="s">
        <v>475</v>
      </c>
      <c r="E627" s="34">
        <v>610</v>
      </c>
      <c r="F627" s="38">
        <v>53200000</v>
      </c>
      <c r="G627" s="38">
        <f>133500+3374177</f>
        <v>3507677</v>
      </c>
      <c r="H627" s="36">
        <f t="shared" si="38"/>
        <v>56707677</v>
      </c>
    </row>
    <row r="628" spans="1:8" ht="47.25">
      <c r="A628" s="51" t="s">
        <v>476</v>
      </c>
      <c r="B628" s="33" t="s">
        <v>438</v>
      </c>
      <c r="C628" s="33" t="s">
        <v>350</v>
      </c>
      <c r="D628" s="34" t="s">
        <v>477</v>
      </c>
      <c r="E628" s="34"/>
      <c r="F628" s="38">
        <f>F629</f>
        <v>1500000</v>
      </c>
      <c r="G628" s="38">
        <f>G629</f>
        <v>245000</v>
      </c>
      <c r="H628" s="36">
        <f t="shared" si="38"/>
        <v>1745000</v>
      </c>
    </row>
    <row r="629" spans="1:8" ht="31.5">
      <c r="A629" s="37" t="s">
        <v>74</v>
      </c>
      <c r="B629" s="33" t="s">
        <v>438</v>
      </c>
      <c r="C629" s="33" t="s">
        <v>350</v>
      </c>
      <c r="D629" s="34" t="s">
        <v>477</v>
      </c>
      <c r="E629" s="34">
        <v>600</v>
      </c>
      <c r="F629" s="38">
        <f>F630</f>
        <v>1500000</v>
      </c>
      <c r="G629" s="38">
        <f>G630</f>
        <v>245000</v>
      </c>
      <c r="H629" s="36">
        <f t="shared" si="38"/>
        <v>1745000</v>
      </c>
    </row>
    <row r="630" spans="1:8" ht="15.75">
      <c r="A630" s="37" t="s">
        <v>75</v>
      </c>
      <c r="B630" s="33" t="s">
        <v>438</v>
      </c>
      <c r="C630" s="33" t="s">
        <v>350</v>
      </c>
      <c r="D630" s="34" t="s">
        <v>477</v>
      </c>
      <c r="E630" s="34">
        <v>610</v>
      </c>
      <c r="F630" s="38">
        <v>1500000</v>
      </c>
      <c r="G630" s="38">
        <v>245000</v>
      </c>
      <c r="H630" s="36">
        <f t="shared" si="38"/>
        <v>1745000</v>
      </c>
    </row>
    <row r="631" spans="1:8" ht="49.5" customHeight="1">
      <c r="A631" s="37" t="s">
        <v>478</v>
      </c>
      <c r="B631" s="33" t="s">
        <v>438</v>
      </c>
      <c r="C631" s="33" t="s">
        <v>350</v>
      </c>
      <c r="D631" s="34" t="s">
        <v>479</v>
      </c>
      <c r="E631" s="34"/>
      <c r="F631" s="38">
        <f>F632</f>
        <v>0</v>
      </c>
      <c r="G631" s="38">
        <f>G632</f>
        <v>469947.78</v>
      </c>
      <c r="H631" s="36">
        <f t="shared" si="38"/>
        <v>469947.78</v>
      </c>
    </row>
    <row r="632" spans="1:8" ht="31.5">
      <c r="A632" s="37" t="s">
        <v>74</v>
      </c>
      <c r="B632" s="33" t="s">
        <v>438</v>
      </c>
      <c r="C632" s="33" t="s">
        <v>350</v>
      </c>
      <c r="D632" s="34" t="s">
        <v>479</v>
      </c>
      <c r="E632" s="34">
        <v>600</v>
      </c>
      <c r="F632" s="38">
        <f>F633</f>
        <v>0</v>
      </c>
      <c r="G632" s="38">
        <f>G633</f>
        <v>469947.78</v>
      </c>
      <c r="H632" s="36">
        <f t="shared" si="38"/>
        <v>469947.78</v>
      </c>
    </row>
    <row r="633" spans="1:8" ht="15.75">
      <c r="A633" s="37" t="s">
        <v>75</v>
      </c>
      <c r="B633" s="33" t="s">
        <v>438</v>
      </c>
      <c r="C633" s="33" t="s">
        <v>350</v>
      </c>
      <c r="D633" s="34" t="s">
        <v>479</v>
      </c>
      <c r="E633" s="34">
        <v>610</v>
      </c>
      <c r="F633" s="38">
        <v>0</v>
      </c>
      <c r="G633" s="38">
        <v>469947.78</v>
      </c>
      <c r="H633" s="36">
        <f t="shared" si="38"/>
        <v>469947.78</v>
      </c>
    </row>
    <row r="634" spans="1:8" ht="78.75">
      <c r="A634" s="37" t="s">
        <v>480</v>
      </c>
      <c r="B634" s="33" t="s">
        <v>438</v>
      </c>
      <c r="C634" s="33" t="s">
        <v>350</v>
      </c>
      <c r="D634" s="34" t="s">
        <v>481</v>
      </c>
      <c r="E634" s="34"/>
      <c r="F634" s="38">
        <f>F635</f>
        <v>469947.78</v>
      </c>
      <c r="G634" s="38">
        <f>G635</f>
        <v>-469947.78</v>
      </c>
      <c r="H634" s="36">
        <f t="shared" si="38"/>
        <v>0</v>
      </c>
    </row>
    <row r="635" spans="1:8" ht="31.5">
      <c r="A635" s="70" t="s">
        <v>74</v>
      </c>
      <c r="B635" s="33" t="s">
        <v>438</v>
      </c>
      <c r="C635" s="33" t="s">
        <v>350</v>
      </c>
      <c r="D635" s="34" t="s">
        <v>481</v>
      </c>
      <c r="E635" s="34">
        <v>600</v>
      </c>
      <c r="F635" s="38">
        <f>F636</f>
        <v>469947.78</v>
      </c>
      <c r="G635" s="38">
        <f>G636</f>
        <v>-469947.78</v>
      </c>
      <c r="H635" s="36">
        <f t="shared" si="38"/>
        <v>0</v>
      </c>
    </row>
    <row r="636" spans="1:8" ht="15.75">
      <c r="A636" s="70" t="s">
        <v>75</v>
      </c>
      <c r="B636" s="33" t="s">
        <v>438</v>
      </c>
      <c r="C636" s="33" t="s">
        <v>350</v>
      </c>
      <c r="D636" s="34" t="s">
        <v>481</v>
      </c>
      <c r="E636" s="34">
        <v>610</v>
      </c>
      <c r="F636" s="38">
        <f>46994.78+422953</f>
        <v>469947.78</v>
      </c>
      <c r="G636" s="38">
        <v>-469947.78</v>
      </c>
      <c r="H636" s="36">
        <f t="shared" si="38"/>
        <v>0</v>
      </c>
    </row>
    <row r="637" spans="1:8" ht="63">
      <c r="A637" s="37" t="s">
        <v>482</v>
      </c>
      <c r="B637" s="33" t="s">
        <v>438</v>
      </c>
      <c r="C637" s="33" t="s">
        <v>350</v>
      </c>
      <c r="D637" s="34" t="s">
        <v>483</v>
      </c>
      <c r="E637" s="34"/>
      <c r="F637" s="38">
        <f>F638</f>
        <v>1000000</v>
      </c>
      <c r="G637" s="38">
        <f>G638</f>
        <v>0</v>
      </c>
      <c r="H637" s="36">
        <f t="shared" si="38"/>
        <v>1000000</v>
      </c>
    </row>
    <row r="638" spans="1:8" ht="31.5">
      <c r="A638" s="70" t="s">
        <v>74</v>
      </c>
      <c r="B638" s="33" t="s">
        <v>438</v>
      </c>
      <c r="C638" s="33" t="s">
        <v>350</v>
      </c>
      <c r="D638" s="34" t="s">
        <v>483</v>
      </c>
      <c r="E638" s="34">
        <v>600</v>
      </c>
      <c r="F638" s="38">
        <f>F639</f>
        <v>1000000</v>
      </c>
      <c r="G638" s="38">
        <f>G639</f>
        <v>0</v>
      </c>
      <c r="H638" s="36">
        <f t="shared" si="38"/>
        <v>1000000</v>
      </c>
    </row>
    <row r="639" spans="1:8" ht="15.75">
      <c r="A639" s="70" t="s">
        <v>75</v>
      </c>
      <c r="B639" s="33" t="s">
        <v>438</v>
      </c>
      <c r="C639" s="33" t="s">
        <v>350</v>
      </c>
      <c r="D639" s="34" t="s">
        <v>483</v>
      </c>
      <c r="E639" s="34">
        <v>610</v>
      </c>
      <c r="F639" s="38">
        <f>1000000</f>
        <v>1000000</v>
      </c>
      <c r="G639" s="38">
        <v>0</v>
      </c>
      <c r="H639" s="36">
        <f t="shared" si="38"/>
        <v>1000000</v>
      </c>
    </row>
    <row r="640" spans="1:8" ht="31.5">
      <c r="A640" s="51" t="s">
        <v>484</v>
      </c>
      <c r="B640" s="33" t="s">
        <v>438</v>
      </c>
      <c r="C640" s="33" t="s">
        <v>350</v>
      </c>
      <c r="D640" s="34" t="s">
        <v>485</v>
      </c>
      <c r="E640" s="34"/>
      <c r="F640" s="38">
        <f>SUM(F641,F644,F647)</f>
        <v>29030000</v>
      </c>
      <c r="G640" s="38">
        <f>SUM(G641,G644,G647)</f>
        <v>8119356.99</v>
      </c>
      <c r="H640" s="36">
        <f t="shared" si="38"/>
        <v>37149356.99</v>
      </c>
    </row>
    <row r="641" spans="1:8" ht="15.75">
      <c r="A641" s="51" t="s">
        <v>486</v>
      </c>
      <c r="B641" s="33" t="s">
        <v>438</v>
      </c>
      <c r="C641" s="33" t="s">
        <v>350</v>
      </c>
      <c r="D641" s="34" t="s">
        <v>487</v>
      </c>
      <c r="E641" s="34"/>
      <c r="F641" s="38">
        <f>F642</f>
        <v>28030000</v>
      </c>
      <c r="G641" s="38">
        <f>G642</f>
        <v>2380465.73</v>
      </c>
      <c r="H641" s="36">
        <f t="shared" si="38"/>
        <v>30410465.73</v>
      </c>
    </row>
    <row r="642" spans="1:8" ht="31.5">
      <c r="A642" s="37" t="s">
        <v>74</v>
      </c>
      <c r="B642" s="33" t="s">
        <v>438</v>
      </c>
      <c r="C642" s="33" t="s">
        <v>350</v>
      </c>
      <c r="D642" s="34" t="s">
        <v>487</v>
      </c>
      <c r="E642" s="34">
        <v>600</v>
      </c>
      <c r="F642" s="38">
        <f>F643</f>
        <v>28030000</v>
      </c>
      <c r="G642" s="38">
        <f>G643</f>
        <v>2380465.73</v>
      </c>
      <c r="H642" s="36">
        <f t="shared" si="38"/>
        <v>30410465.73</v>
      </c>
    </row>
    <row r="643" spans="1:8" ht="15.75">
      <c r="A643" s="37" t="s">
        <v>75</v>
      </c>
      <c r="B643" s="33" t="s">
        <v>438</v>
      </c>
      <c r="C643" s="33" t="s">
        <v>350</v>
      </c>
      <c r="D643" s="34" t="s">
        <v>487</v>
      </c>
      <c r="E643" s="34">
        <v>610</v>
      </c>
      <c r="F643" s="38">
        <v>28030000</v>
      </c>
      <c r="G643" s="38">
        <f>1295718.73+325000+759747</f>
        <v>2380465.73</v>
      </c>
      <c r="H643" s="36">
        <f t="shared" si="38"/>
        <v>30410465.73</v>
      </c>
    </row>
    <row r="644" spans="1:8" ht="31.5">
      <c r="A644" s="51" t="s">
        <v>488</v>
      </c>
      <c r="B644" s="33" t="s">
        <v>438</v>
      </c>
      <c r="C644" s="33" t="s">
        <v>350</v>
      </c>
      <c r="D644" s="34" t="s">
        <v>489</v>
      </c>
      <c r="E644" s="34"/>
      <c r="F644" s="38">
        <f>F645</f>
        <v>1000000</v>
      </c>
      <c r="G644" s="38">
        <f>G645</f>
        <v>0</v>
      </c>
      <c r="H644" s="36">
        <f t="shared" si="38"/>
        <v>1000000</v>
      </c>
    </row>
    <row r="645" spans="1:8" ht="31.5">
      <c r="A645" s="37" t="s">
        <v>74</v>
      </c>
      <c r="B645" s="33" t="s">
        <v>438</v>
      </c>
      <c r="C645" s="33" t="s">
        <v>350</v>
      </c>
      <c r="D645" s="34" t="s">
        <v>489</v>
      </c>
      <c r="E645" s="34">
        <v>600</v>
      </c>
      <c r="F645" s="38">
        <f>F646</f>
        <v>1000000</v>
      </c>
      <c r="G645" s="38">
        <f>G646</f>
        <v>0</v>
      </c>
      <c r="H645" s="36">
        <f t="shared" si="38"/>
        <v>1000000</v>
      </c>
    </row>
    <row r="646" spans="1:8" ht="15.75">
      <c r="A646" s="37" t="s">
        <v>75</v>
      </c>
      <c r="B646" s="33" t="s">
        <v>438</v>
      </c>
      <c r="C646" s="33" t="s">
        <v>350</v>
      </c>
      <c r="D646" s="34" t="s">
        <v>489</v>
      </c>
      <c r="E646" s="34">
        <v>610</v>
      </c>
      <c r="F646" s="38">
        <v>1000000</v>
      </c>
      <c r="G646" s="38">
        <f>4406250-4406250</f>
        <v>0</v>
      </c>
      <c r="H646" s="36">
        <f t="shared" si="38"/>
        <v>1000000</v>
      </c>
    </row>
    <row r="647" spans="1:8" ht="125.25" customHeight="1">
      <c r="A647" s="63" t="s">
        <v>490</v>
      </c>
      <c r="B647" s="33" t="s">
        <v>438</v>
      </c>
      <c r="C647" s="33" t="s">
        <v>350</v>
      </c>
      <c r="D647" s="34" t="s">
        <v>491</v>
      </c>
      <c r="E647" s="34"/>
      <c r="F647" s="38">
        <f>F648</f>
        <v>0</v>
      </c>
      <c r="G647" s="38">
        <f>G648</f>
        <v>5738891.26</v>
      </c>
      <c r="H647" s="36">
        <f t="shared" si="38"/>
        <v>5738891.26</v>
      </c>
    </row>
    <row r="648" spans="1:8" ht="31.5">
      <c r="A648" s="37" t="s">
        <v>74</v>
      </c>
      <c r="B648" s="33" t="s">
        <v>438</v>
      </c>
      <c r="C648" s="33" t="s">
        <v>350</v>
      </c>
      <c r="D648" s="34" t="s">
        <v>491</v>
      </c>
      <c r="E648" s="34">
        <v>600</v>
      </c>
      <c r="F648" s="38">
        <f>F649</f>
        <v>0</v>
      </c>
      <c r="G648" s="38">
        <f>G649</f>
        <v>5738891.26</v>
      </c>
      <c r="H648" s="36">
        <f t="shared" si="38"/>
        <v>5738891.26</v>
      </c>
    </row>
    <row r="649" spans="1:8" ht="15.75">
      <c r="A649" s="37" t="s">
        <v>75</v>
      </c>
      <c r="B649" s="33" t="s">
        <v>438</v>
      </c>
      <c r="C649" s="33" t="s">
        <v>350</v>
      </c>
      <c r="D649" s="34" t="s">
        <v>491</v>
      </c>
      <c r="E649" s="34">
        <v>610</v>
      </c>
      <c r="F649" s="38">
        <v>0</v>
      </c>
      <c r="G649" s="38">
        <f>1332641.26+4406250</f>
        <v>5738891.26</v>
      </c>
      <c r="H649" s="36">
        <f t="shared" si="38"/>
        <v>5738891.26</v>
      </c>
    </row>
    <row r="650" spans="1:8" ht="31.5">
      <c r="A650" s="37" t="s">
        <v>243</v>
      </c>
      <c r="B650" s="33" t="s">
        <v>438</v>
      </c>
      <c r="C650" s="33" t="s">
        <v>350</v>
      </c>
      <c r="D650" s="34" t="s">
        <v>244</v>
      </c>
      <c r="E650" s="34"/>
      <c r="F650" s="38">
        <f>F651</f>
        <v>600000</v>
      </c>
      <c r="G650" s="38">
        <f>G651</f>
        <v>3704</v>
      </c>
      <c r="H650" s="36">
        <f t="shared" si="38"/>
        <v>603704</v>
      </c>
    </row>
    <row r="651" spans="1:8" ht="15.75">
      <c r="A651" s="31" t="s">
        <v>245</v>
      </c>
      <c r="B651" s="33" t="s">
        <v>438</v>
      </c>
      <c r="C651" s="33" t="s">
        <v>350</v>
      </c>
      <c r="D651" s="34" t="s">
        <v>246</v>
      </c>
      <c r="E651" s="34"/>
      <c r="F651" s="38">
        <f>SUM(F652,F655)</f>
        <v>600000</v>
      </c>
      <c r="G651" s="38">
        <f>SUM(G652,G655)</f>
        <v>3704</v>
      </c>
      <c r="H651" s="36">
        <f t="shared" si="38"/>
        <v>603704</v>
      </c>
    </row>
    <row r="652" spans="1:8" ht="78.75">
      <c r="A652" s="37" t="s">
        <v>247</v>
      </c>
      <c r="B652" s="33" t="s">
        <v>438</v>
      </c>
      <c r="C652" s="33" t="s">
        <v>350</v>
      </c>
      <c r="D652" s="34" t="s">
        <v>248</v>
      </c>
      <c r="E652" s="34"/>
      <c r="F652" s="38">
        <f>F653</f>
        <v>450000</v>
      </c>
      <c r="G652" s="38">
        <f>G653</f>
        <v>0</v>
      </c>
      <c r="H652" s="36">
        <f t="shared" si="38"/>
        <v>450000</v>
      </c>
    </row>
    <row r="653" spans="1:8" ht="31.5">
      <c r="A653" s="37" t="s">
        <v>74</v>
      </c>
      <c r="B653" s="33" t="s">
        <v>438</v>
      </c>
      <c r="C653" s="33" t="s">
        <v>350</v>
      </c>
      <c r="D653" s="34" t="s">
        <v>248</v>
      </c>
      <c r="E653" s="34">
        <v>600</v>
      </c>
      <c r="F653" s="38">
        <f>SUM(F654:F654)</f>
        <v>450000</v>
      </c>
      <c r="G653" s="38">
        <f>SUM(G654:G654)</f>
        <v>0</v>
      </c>
      <c r="H653" s="36">
        <f t="shared" si="38"/>
        <v>450000</v>
      </c>
    </row>
    <row r="654" spans="1:8" ht="15.75">
      <c r="A654" s="37" t="s">
        <v>75</v>
      </c>
      <c r="B654" s="33" t="s">
        <v>438</v>
      </c>
      <c r="C654" s="33" t="s">
        <v>350</v>
      </c>
      <c r="D654" s="34" t="s">
        <v>248</v>
      </c>
      <c r="E654" s="34">
        <v>610</v>
      </c>
      <c r="F654" s="38">
        <v>450000</v>
      </c>
      <c r="G654" s="38">
        <v>0</v>
      </c>
      <c r="H654" s="36">
        <f t="shared" si="38"/>
        <v>450000</v>
      </c>
    </row>
    <row r="655" spans="1:8" ht="31.5">
      <c r="A655" s="37" t="s">
        <v>492</v>
      </c>
      <c r="B655" s="33" t="s">
        <v>438</v>
      </c>
      <c r="C655" s="33" t="s">
        <v>350</v>
      </c>
      <c r="D655" s="34" t="s">
        <v>493</v>
      </c>
      <c r="E655" s="34"/>
      <c r="F655" s="38">
        <f>F656</f>
        <v>150000</v>
      </c>
      <c r="G655" s="38">
        <f>G656</f>
        <v>3704</v>
      </c>
      <c r="H655" s="36">
        <f t="shared" si="38"/>
        <v>153704</v>
      </c>
    </row>
    <row r="656" spans="1:8" ht="31.5">
      <c r="A656" s="37" t="s">
        <v>74</v>
      </c>
      <c r="B656" s="33" t="s">
        <v>438</v>
      </c>
      <c r="C656" s="33" t="s">
        <v>350</v>
      </c>
      <c r="D656" s="34" t="s">
        <v>493</v>
      </c>
      <c r="E656" s="34">
        <v>600</v>
      </c>
      <c r="F656" s="38">
        <f>F657</f>
        <v>150000</v>
      </c>
      <c r="G656" s="38">
        <f>G657</f>
        <v>3704</v>
      </c>
      <c r="H656" s="36">
        <f t="shared" si="38"/>
        <v>153704</v>
      </c>
    </row>
    <row r="657" spans="1:8" ht="15.75">
      <c r="A657" s="37" t="s">
        <v>75</v>
      </c>
      <c r="B657" s="33" t="s">
        <v>438</v>
      </c>
      <c r="C657" s="33" t="s">
        <v>350</v>
      </c>
      <c r="D657" s="34" t="s">
        <v>493</v>
      </c>
      <c r="E657" s="34">
        <v>610</v>
      </c>
      <c r="F657" s="38">
        <v>150000</v>
      </c>
      <c r="G657" s="38">
        <v>3704</v>
      </c>
      <c r="H657" s="36">
        <f t="shared" si="38"/>
        <v>153704</v>
      </c>
    </row>
    <row r="658" spans="1:8" ht="15.75">
      <c r="A658" s="26" t="s">
        <v>357</v>
      </c>
      <c r="B658" s="28" t="s">
        <v>438</v>
      </c>
      <c r="C658" s="28" t="s">
        <v>358</v>
      </c>
      <c r="D658" s="50"/>
      <c r="E658" s="50"/>
      <c r="F658" s="45">
        <f aca="true" t="shared" si="39" ref="F658:G662">F659</f>
        <v>1500000</v>
      </c>
      <c r="G658" s="45">
        <f t="shared" si="39"/>
        <v>0</v>
      </c>
      <c r="H658" s="30">
        <f t="shared" si="38"/>
        <v>1500000</v>
      </c>
    </row>
    <row r="659" spans="1:8" ht="31.5">
      <c r="A659" s="37" t="s">
        <v>351</v>
      </c>
      <c r="B659" s="33" t="s">
        <v>438</v>
      </c>
      <c r="C659" s="33" t="s">
        <v>358</v>
      </c>
      <c r="D659" s="34" t="s">
        <v>352</v>
      </c>
      <c r="E659" s="50"/>
      <c r="F659" s="38">
        <f t="shared" si="39"/>
        <v>1500000</v>
      </c>
      <c r="G659" s="38">
        <f t="shared" si="39"/>
        <v>0</v>
      </c>
      <c r="H659" s="36">
        <f t="shared" si="38"/>
        <v>1500000</v>
      </c>
    </row>
    <row r="660" spans="1:8" ht="47.25">
      <c r="A660" s="51" t="s">
        <v>353</v>
      </c>
      <c r="B660" s="33" t="s">
        <v>438</v>
      </c>
      <c r="C660" s="33" t="s">
        <v>358</v>
      </c>
      <c r="D660" s="34" t="s">
        <v>354</v>
      </c>
      <c r="E660" s="50"/>
      <c r="F660" s="38">
        <f t="shared" si="39"/>
        <v>1500000</v>
      </c>
      <c r="G660" s="38">
        <f t="shared" si="39"/>
        <v>0</v>
      </c>
      <c r="H660" s="36">
        <f t="shared" si="38"/>
        <v>1500000</v>
      </c>
    </row>
    <row r="661" spans="1:8" ht="15.75">
      <c r="A661" s="51" t="s">
        <v>494</v>
      </c>
      <c r="B661" s="33" t="s">
        <v>438</v>
      </c>
      <c r="C661" s="33" t="s">
        <v>358</v>
      </c>
      <c r="D661" s="34" t="s">
        <v>495</v>
      </c>
      <c r="E661" s="34"/>
      <c r="F661" s="38">
        <f t="shared" si="39"/>
        <v>1500000</v>
      </c>
      <c r="G661" s="38">
        <f t="shared" si="39"/>
        <v>0</v>
      </c>
      <c r="H661" s="36">
        <f t="shared" si="38"/>
        <v>1500000</v>
      </c>
    </row>
    <row r="662" spans="1:8" ht="15.75">
      <c r="A662" s="37" t="s">
        <v>36</v>
      </c>
      <c r="B662" s="33" t="s">
        <v>438</v>
      </c>
      <c r="C662" s="33" t="s">
        <v>358</v>
      </c>
      <c r="D662" s="34" t="s">
        <v>495</v>
      </c>
      <c r="E662" s="34">
        <v>800</v>
      </c>
      <c r="F662" s="38">
        <f t="shared" si="39"/>
        <v>1500000</v>
      </c>
      <c r="G662" s="38">
        <f t="shared" si="39"/>
        <v>0</v>
      </c>
      <c r="H662" s="36">
        <f t="shared" si="38"/>
        <v>1500000</v>
      </c>
    </row>
    <row r="663" spans="1:8" ht="63">
      <c r="A663" s="37" t="s">
        <v>161</v>
      </c>
      <c r="B663" s="33" t="s">
        <v>438</v>
      </c>
      <c r="C663" s="33" t="s">
        <v>358</v>
      </c>
      <c r="D663" s="34" t="s">
        <v>495</v>
      </c>
      <c r="E663" s="34">
        <v>810</v>
      </c>
      <c r="F663" s="38">
        <v>1500000</v>
      </c>
      <c r="G663" s="38">
        <f>295000-295000</f>
        <v>0</v>
      </c>
      <c r="H663" s="36">
        <f t="shared" si="38"/>
        <v>1500000</v>
      </c>
    </row>
    <row r="664" spans="1:8" ht="15.75">
      <c r="A664" s="26" t="s">
        <v>496</v>
      </c>
      <c r="B664" s="28" t="s">
        <v>438</v>
      </c>
      <c r="C664" s="28" t="s">
        <v>497</v>
      </c>
      <c r="D664" s="34"/>
      <c r="E664" s="50"/>
      <c r="F664" s="45">
        <f>F665+F681</f>
        <v>45006000</v>
      </c>
      <c r="G664" s="45">
        <f>G665+G681</f>
        <v>2834246</v>
      </c>
      <c r="H664" s="30">
        <f t="shared" si="38"/>
        <v>47840246</v>
      </c>
    </row>
    <row r="665" spans="1:8" ht="31.5">
      <c r="A665" s="37" t="s">
        <v>351</v>
      </c>
      <c r="B665" s="33" t="s">
        <v>438</v>
      </c>
      <c r="C665" s="33" t="s">
        <v>497</v>
      </c>
      <c r="D665" s="34" t="s">
        <v>352</v>
      </c>
      <c r="E665" s="50"/>
      <c r="F665" s="38">
        <f>F666</f>
        <v>45006000</v>
      </c>
      <c r="G665" s="38">
        <f>G666</f>
        <v>2788676</v>
      </c>
      <c r="H665" s="36">
        <f t="shared" si="38"/>
        <v>47794676</v>
      </c>
    </row>
    <row r="666" spans="1:8" ht="47.25">
      <c r="A666" s="37" t="s">
        <v>498</v>
      </c>
      <c r="B666" s="33" t="s">
        <v>438</v>
      </c>
      <c r="C666" s="33" t="s">
        <v>497</v>
      </c>
      <c r="D666" s="34" t="s">
        <v>499</v>
      </c>
      <c r="E666" s="34"/>
      <c r="F666" s="38">
        <f>SUM(F667,F674)</f>
        <v>45006000</v>
      </c>
      <c r="G666" s="38">
        <f>SUM(G667,G674)</f>
        <v>2788676</v>
      </c>
      <c r="H666" s="36">
        <f t="shared" si="38"/>
        <v>47794676</v>
      </c>
    </row>
    <row r="667" spans="1:8" ht="31.5">
      <c r="A667" s="37" t="s">
        <v>500</v>
      </c>
      <c r="B667" s="33" t="s">
        <v>438</v>
      </c>
      <c r="C667" s="33" t="s">
        <v>497</v>
      </c>
      <c r="D667" s="34" t="s">
        <v>501</v>
      </c>
      <c r="E667" s="34"/>
      <c r="F667" s="42">
        <f>SUM(F668,F670,F672)</f>
        <v>5953000</v>
      </c>
      <c r="G667" s="42">
        <f>SUM(G668,G670,G672)</f>
        <v>1050566</v>
      </c>
      <c r="H667" s="36">
        <f aca="true" t="shared" si="40" ref="H667:H730">SUM(F667:G667)</f>
        <v>7003566</v>
      </c>
    </row>
    <row r="668" spans="1:8" ht="78.75">
      <c r="A668" s="40" t="s">
        <v>22</v>
      </c>
      <c r="B668" s="33" t="s">
        <v>438</v>
      </c>
      <c r="C668" s="33" t="s">
        <v>497</v>
      </c>
      <c r="D668" s="34" t="s">
        <v>501</v>
      </c>
      <c r="E668" s="33" t="s">
        <v>23</v>
      </c>
      <c r="F668" s="38">
        <f>F669</f>
        <v>5600000</v>
      </c>
      <c r="G668" s="38">
        <f>G669</f>
        <v>1050566</v>
      </c>
      <c r="H668" s="36">
        <f t="shared" si="40"/>
        <v>6650566</v>
      </c>
    </row>
    <row r="669" spans="1:8" ht="31.5">
      <c r="A669" s="40" t="s">
        <v>24</v>
      </c>
      <c r="B669" s="33" t="s">
        <v>438</v>
      </c>
      <c r="C669" s="33" t="s">
        <v>497</v>
      </c>
      <c r="D669" s="34" t="s">
        <v>501</v>
      </c>
      <c r="E669" s="33" t="s">
        <v>25</v>
      </c>
      <c r="F669" s="38">
        <v>5600000</v>
      </c>
      <c r="G669" s="38">
        <v>1050566</v>
      </c>
      <c r="H669" s="36">
        <f t="shared" si="40"/>
        <v>6650566</v>
      </c>
    </row>
    <row r="670" spans="1:8" ht="31.5">
      <c r="A670" s="41" t="s">
        <v>28</v>
      </c>
      <c r="B670" s="33" t="s">
        <v>438</v>
      </c>
      <c r="C670" s="33" t="s">
        <v>497</v>
      </c>
      <c r="D670" s="34" t="s">
        <v>501</v>
      </c>
      <c r="E670" s="33" t="s">
        <v>29</v>
      </c>
      <c r="F670" s="38">
        <f>F671</f>
        <v>350000</v>
      </c>
      <c r="G670" s="38">
        <f>G671</f>
        <v>0</v>
      </c>
      <c r="H670" s="36">
        <f t="shared" si="40"/>
        <v>350000</v>
      </c>
    </row>
    <row r="671" spans="1:8" ht="31.5">
      <c r="A671" s="41" t="s">
        <v>30</v>
      </c>
      <c r="B671" s="33" t="s">
        <v>438</v>
      </c>
      <c r="C671" s="33" t="s">
        <v>497</v>
      </c>
      <c r="D671" s="34" t="s">
        <v>501</v>
      </c>
      <c r="E671" s="33" t="s">
        <v>31</v>
      </c>
      <c r="F671" s="38">
        <v>350000</v>
      </c>
      <c r="G671" s="38">
        <v>0</v>
      </c>
      <c r="H671" s="36">
        <f t="shared" si="40"/>
        <v>350000</v>
      </c>
    </row>
    <row r="672" spans="1:8" ht="15.75">
      <c r="A672" s="41" t="s">
        <v>36</v>
      </c>
      <c r="B672" s="33" t="s">
        <v>438</v>
      </c>
      <c r="C672" s="33" t="s">
        <v>497</v>
      </c>
      <c r="D672" s="34" t="s">
        <v>501</v>
      </c>
      <c r="E672" s="33" t="s">
        <v>37</v>
      </c>
      <c r="F672" s="38">
        <f>F673</f>
        <v>3000</v>
      </c>
      <c r="G672" s="38">
        <f>G673</f>
        <v>0</v>
      </c>
      <c r="H672" s="36">
        <f t="shared" si="40"/>
        <v>3000</v>
      </c>
    </row>
    <row r="673" spans="1:8" ht="15.75">
      <c r="A673" s="41" t="s">
        <v>38</v>
      </c>
      <c r="B673" s="33" t="s">
        <v>438</v>
      </c>
      <c r="C673" s="33" t="s">
        <v>497</v>
      </c>
      <c r="D673" s="34" t="s">
        <v>501</v>
      </c>
      <c r="E673" s="33" t="s">
        <v>39</v>
      </c>
      <c r="F673" s="38">
        <v>3000</v>
      </c>
      <c r="G673" s="38">
        <v>0</v>
      </c>
      <c r="H673" s="36">
        <f t="shared" si="40"/>
        <v>3000</v>
      </c>
    </row>
    <row r="674" spans="1:8" ht="31.5">
      <c r="A674" s="37" t="s">
        <v>502</v>
      </c>
      <c r="B674" s="33" t="s">
        <v>438</v>
      </c>
      <c r="C674" s="33" t="s">
        <v>497</v>
      </c>
      <c r="D674" s="34" t="s">
        <v>503</v>
      </c>
      <c r="E674" s="34"/>
      <c r="F674" s="38">
        <f>SUM(F675,F677,F679)</f>
        <v>39053000</v>
      </c>
      <c r="G674" s="38">
        <f>SUM(G675,G677,G679)</f>
        <v>1738110</v>
      </c>
      <c r="H674" s="36">
        <f t="shared" si="40"/>
        <v>40791110</v>
      </c>
    </row>
    <row r="675" spans="1:8" ht="78.75">
      <c r="A675" s="40" t="s">
        <v>22</v>
      </c>
      <c r="B675" s="33" t="s">
        <v>438</v>
      </c>
      <c r="C675" s="33" t="s">
        <v>497</v>
      </c>
      <c r="D675" s="34" t="s">
        <v>503</v>
      </c>
      <c r="E675" s="34">
        <v>100</v>
      </c>
      <c r="F675" s="38">
        <f>F676</f>
        <v>37800000</v>
      </c>
      <c r="G675" s="38">
        <f>G676</f>
        <v>1738110</v>
      </c>
      <c r="H675" s="36">
        <f t="shared" si="40"/>
        <v>39538110</v>
      </c>
    </row>
    <row r="676" spans="1:8" ht="15.75">
      <c r="A676" s="40" t="s">
        <v>69</v>
      </c>
      <c r="B676" s="33" t="s">
        <v>438</v>
      </c>
      <c r="C676" s="33" t="s">
        <v>497</v>
      </c>
      <c r="D676" s="34" t="s">
        <v>503</v>
      </c>
      <c r="E676" s="34">
        <v>110</v>
      </c>
      <c r="F676" s="38">
        <v>37800000</v>
      </c>
      <c r="G676" s="38">
        <v>1738110</v>
      </c>
      <c r="H676" s="36">
        <f t="shared" si="40"/>
        <v>39538110</v>
      </c>
    </row>
    <row r="677" spans="1:8" ht="31.5">
      <c r="A677" s="41" t="s">
        <v>28</v>
      </c>
      <c r="B677" s="33" t="s">
        <v>438</v>
      </c>
      <c r="C677" s="33" t="s">
        <v>497</v>
      </c>
      <c r="D677" s="34" t="s">
        <v>503</v>
      </c>
      <c r="E677" s="34">
        <v>200</v>
      </c>
      <c r="F677" s="38">
        <f>F678</f>
        <v>1250000</v>
      </c>
      <c r="G677" s="38">
        <f>G678</f>
        <v>1467</v>
      </c>
      <c r="H677" s="36">
        <f t="shared" si="40"/>
        <v>1251467</v>
      </c>
    </row>
    <row r="678" spans="1:8" ht="31.5">
      <c r="A678" s="41" t="s">
        <v>30</v>
      </c>
      <c r="B678" s="33" t="s">
        <v>438</v>
      </c>
      <c r="C678" s="33" t="s">
        <v>497</v>
      </c>
      <c r="D678" s="34" t="s">
        <v>503</v>
      </c>
      <c r="E678" s="34">
        <v>240</v>
      </c>
      <c r="F678" s="38">
        <v>1250000</v>
      </c>
      <c r="G678" s="38">
        <v>1467</v>
      </c>
      <c r="H678" s="36">
        <f t="shared" si="40"/>
        <v>1251467</v>
      </c>
    </row>
    <row r="679" spans="1:8" ht="15.75">
      <c r="A679" s="41" t="s">
        <v>36</v>
      </c>
      <c r="B679" s="33" t="s">
        <v>438</v>
      </c>
      <c r="C679" s="33" t="s">
        <v>497</v>
      </c>
      <c r="D679" s="34" t="s">
        <v>503</v>
      </c>
      <c r="E679" s="33" t="s">
        <v>37</v>
      </c>
      <c r="F679" s="38">
        <f>F680</f>
        <v>3000</v>
      </c>
      <c r="G679" s="38">
        <f>G680</f>
        <v>-1467</v>
      </c>
      <c r="H679" s="36">
        <f t="shared" si="40"/>
        <v>1533</v>
      </c>
    </row>
    <row r="680" spans="1:8" ht="15.75">
      <c r="A680" s="41" t="s">
        <v>38</v>
      </c>
      <c r="B680" s="33" t="s">
        <v>438</v>
      </c>
      <c r="C680" s="33" t="s">
        <v>497</v>
      </c>
      <c r="D680" s="34" t="s">
        <v>503</v>
      </c>
      <c r="E680" s="33" t="s">
        <v>39</v>
      </c>
      <c r="F680" s="38">
        <v>3000</v>
      </c>
      <c r="G680" s="38">
        <v>-1467</v>
      </c>
      <c r="H680" s="36">
        <f t="shared" si="40"/>
        <v>1533</v>
      </c>
    </row>
    <row r="681" spans="1:8" ht="15.75">
      <c r="A681" s="31" t="s">
        <v>16</v>
      </c>
      <c r="B681" s="33" t="s">
        <v>438</v>
      </c>
      <c r="C681" s="33" t="s">
        <v>497</v>
      </c>
      <c r="D681" s="34" t="s">
        <v>17</v>
      </c>
      <c r="E681" s="33"/>
      <c r="F681" s="38">
        <f aca="true" t="shared" si="41" ref="F681:G684">F682</f>
        <v>0</v>
      </c>
      <c r="G681" s="38">
        <f t="shared" si="41"/>
        <v>45570</v>
      </c>
      <c r="H681" s="36">
        <f t="shared" si="40"/>
        <v>45570</v>
      </c>
    </row>
    <row r="682" spans="1:8" ht="31.5">
      <c r="A682" s="41" t="s">
        <v>18</v>
      </c>
      <c r="B682" s="33" t="s">
        <v>438</v>
      </c>
      <c r="C682" s="33" t="s">
        <v>497</v>
      </c>
      <c r="D682" s="34" t="s">
        <v>19</v>
      </c>
      <c r="E682" s="33"/>
      <c r="F682" s="38">
        <f t="shared" si="41"/>
        <v>0</v>
      </c>
      <c r="G682" s="38">
        <f t="shared" si="41"/>
        <v>45570</v>
      </c>
      <c r="H682" s="36">
        <f t="shared" si="40"/>
        <v>45570</v>
      </c>
    </row>
    <row r="683" spans="1:8" ht="33" customHeight="1">
      <c r="A683" s="41" t="s">
        <v>40</v>
      </c>
      <c r="B683" s="33" t="s">
        <v>438</v>
      </c>
      <c r="C683" s="33" t="s">
        <v>497</v>
      </c>
      <c r="D683" s="34" t="s">
        <v>41</v>
      </c>
      <c r="E683" s="33"/>
      <c r="F683" s="38">
        <f t="shared" si="41"/>
        <v>0</v>
      </c>
      <c r="G683" s="38">
        <f t="shared" si="41"/>
        <v>45570</v>
      </c>
      <c r="H683" s="36">
        <f t="shared" si="40"/>
        <v>45570</v>
      </c>
    </row>
    <row r="684" spans="1:8" ht="78.75">
      <c r="A684" s="40" t="s">
        <v>22</v>
      </c>
      <c r="B684" s="33" t="s">
        <v>438</v>
      </c>
      <c r="C684" s="33" t="s">
        <v>497</v>
      </c>
      <c r="D684" s="34" t="s">
        <v>41</v>
      </c>
      <c r="E684" s="33" t="s">
        <v>23</v>
      </c>
      <c r="F684" s="38">
        <f t="shared" si="41"/>
        <v>0</v>
      </c>
      <c r="G684" s="38">
        <f t="shared" si="41"/>
        <v>45570</v>
      </c>
      <c r="H684" s="36">
        <f t="shared" si="40"/>
        <v>45570</v>
      </c>
    </row>
    <row r="685" spans="1:8" ht="31.5">
      <c r="A685" s="40" t="s">
        <v>24</v>
      </c>
      <c r="B685" s="33" t="s">
        <v>438</v>
      </c>
      <c r="C685" s="33" t="s">
        <v>497</v>
      </c>
      <c r="D685" s="34" t="s">
        <v>41</v>
      </c>
      <c r="E685" s="33" t="s">
        <v>25</v>
      </c>
      <c r="F685" s="38">
        <v>0</v>
      </c>
      <c r="G685" s="38">
        <v>45570</v>
      </c>
      <c r="H685" s="36">
        <f t="shared" si="40"/>
        <v>45570</v>
      </c>
    </row>
    <row r="686" spans="1:8" ht="33">
      <c r="A686" s="17" t="s">
        <v>504</v>
      </c>
      <c r="B686" s="71">
        <v>847</v>
      </c>
      <c r="C686" s="19"/>
      <c r="D686" s="72"/>
      <c r="E686" s="19"/>
      <c r="F686" s="67">
        <f>SUM(F687,F702)</f>
        <v>1098910150.48</v>
      </c>
      <c r="G686" s="67">
        <f>SUM(G687,G702)</f>
        <v>-6398111.379999997</v>
      </c>
      <c r="H686" s="21">
        <f t="shared" si="40"/>
        <v>1092512039.1</v>
      </c>
    </row>
    <row r="687" spans="1:8" ht="15.75">
      <c r="A687" s="23" t="s">
        <v>12</v>
      </c>
      <c r="B687" s="24" t="s">
        <v>505</v>
      </c>
      <c r="C687" s="24" t="s">
        <v>13</v>
      </c>
      <c r="D687" s="24"/>
      <c r="E687" s="24"/>
      <c r="F687" s="55">
        <f aca="true" t="shared" si="42" ref="F687:G689">F688</f>
        <v>28300000</v>
      </c>
      <c r="G687" s="55">
        <f t="shared" si="42"/>
        <v>0</v>
      </c>
      <c r="H687" s="21">
        <f t="shared" si="40"/>
        <v>28300000</v>
      </c>
    </row>
    <row r="688" spans="1:8" ht="15.75">
      <c r="A688" s="26" t="s">
        <v>57</v>
      </c>
      <c r="B688" s="27" t="s">
        <v>505</v>
      </c>
      <c r="C688" s="28" t="s">
        <v>58</v>
      </c>
      <c r="D688" s="73"/>
      <c r="E688" s="73"/>
      <c r="F688" s="45">
        <f t="shared" si="42"/>
        <v>28300000</v>
      </c>
      <c r="G688" s="45">
        <f t="shared" si="42"/>
        <v>0</v>
      </c>
      <c r="H688" s="30">
        <f t="shared" si="40"/>
        <v>28300000</v>
      </c>
    </row>
    <row r="689" spans="1:8" ht="15.75">
      <c r="A689" s="31" t="s">
        <v>16</v>
      </c>
      <c r="B689" s="60">
        <v>847</v>
      </c>
      <c r="C689" s="33" t="s">
        <v>58</v>
      </c>
      <c r="D689" s="34" t="s">
        <v>17</v>
      </c>
      <c r="E689" s="73"/>
      <c r="F689" s="38">
        <f t="shared" si="42"/>
        <v>28300000</v>
      </c>
      <c r="G689" s="38">
        <f t="shared" si="42"/>
        <v>0</v>
      </c>
      <c r="H689" s="36">
        <f t="shared" si="40"/>
        <v>28300000</v>
      </c>
    </row>
    <row r="690" spans="1:8" ht="15.75">
      <c r="A690" s="37" t="s">
        <v>126</v>
      </c>
      <c r="B690" s="60">
        <v>847</v>
      </c>
      <c r="C690" s="33" t="s">
        <v>58</v>
      </c>
      <c r="D690" s="34" t="s">
        <v>127</v>
      </c>
      <c r="E690" s="28"/>
      <c r="F690" s="38">
        <f>F697+F691+F694</f>
        <v>28300000</v>
      </c>
      <c r="G690" s="38">
        <f>G697+G691+G694</f>
        <v>0</v>
      </c>
      <c r="H690" s="36">
        <f t="shared" si="40"/>
        <v>28300000</v>
      </c>
    </row>
    <row r="691" spans="1:8" ht="63">
      <c r="A691" s="37" t="s">
        <v>506</v>
      </c>
      <c r="B691" s="60">
        <v>847</v>
      </c>
      <c r="C691" s="33" t="s">
        <v>58</v>
      </c>
      <c r="D691" s="34" t="s">
        <v>507</v>
      </c>
      <c r="E691" s="33"/>
      <c r="F691" s="38">
        <f>F692</f>
        <v>1200000</v>
      </c>
      <c r="G691" s="38">
        <f>G692</f>
        <v>0</v>
      </c>
      <c r="H691" s="36">
        <f t="shared" si="40"/>
        <v>1200000</v>
      </c>
    </row>
    <row r="692" spans="1:8" ht="31.5">
      <c r="A692" s="37" t="s">
        <v>74</v>
      </c>
      <c r="B692" s="60">
        <v>847</v>
      </c>
      <c r="C692" s="33" t="s">
        <v>58</v>
      </c>
      <c r="D692" s="34" t="s">
        <v>507</v>
      </c>
      <c r="E692" s="34">
        <v>600</v>
      </c>
      <c r="F692" s="38">
        <f>F693</f>
        <v>1200000</v>
      </c>
      <c r="G692" s="38">
        <f>G693</f>
        <v>0</v>
      </c>
      <c r="H692" s="36">
        <f t="shared" si="40"/>
        <v>1200000</v>
      </c>
    </row>
    <row r="693" spans="1:8" ht="15.75">
      <c r="A693" s="37" t="s">
        <v>75</v>
      </c>
      <c r="B693" s="60">
        <v>847</v>
      </c>
      <c r="C693" s="33" t="s">
        <v>58</v>
      </c>
      <c r="D693" s="34" t="s">
        <v>507</v>
      </c>
      <c r="E693" s="34">
        <v>610</v>
      </c>
      <c r="F693" s="38">
        <v>1200000</v>
      </c>
      <c r="G693" s="38">
        <v>0</v>
      </c>
      <c r="H693" s="36">
        <f t="shared" si="40"/>
        <v>1200000</v>
      </c>
    </row>
    <row r="694" spans="1:8" ht="94.5">
      <c r="A694" s="37" t="s">
        <v>508</v>
      </c>
      <c r="B694" s="60">
        <v>847</v>
      </c>
      <c r="C694" s="33" t="s">
        <v>58</v>
      </c>
      <c r="D694" s="34" t="s">
        <v>509</v>
      </c>
      <c r="E694" s="33"/>
      <c r="F694" s="38">
        <f>F695</f>
        <v>27000000</v>
      </c>
      <c r="G694" s="38">
        <f>G695</f>
        <v>0</v>
      </c>
      <c r="H694" s="36">
        <f t="shared" si="40"/>
        <v>27000000</v>
      </c>
    </row>
    <row r="695" spans="1:8" ht="31.5">
      <c r="A695" s="37" t="s">
        <v>74</v>
      </c>
      <c r="B695" s="60">
        <v>847</v>
      </c>
      <c r="C695" s="33" t="s">
        <v>58</v>
      </c>
      <c r="D695" s="34" t="s">
        <v>509</v>
      </c>
      <c r="E695" s="33" t="s">
        <v>510</v>
      </c>
      <c r="F695" s="38">
        <f>F696</f>
        <v>27000000</v>
      </c>
      <c r="G695" s="38">
        <f>G696</f>
        <v>0</v>
      </c>
      <c r="H695" s="36">
        <f t="shared" si="40"/>
        <v>27000000</v>
      </c>
    </row>
    <row r="696" spans="1:8" ht="15.75">
      <c r="A696" s="37" t="s">
        <v>75</v>
      </c>
      <c r="B696" s="60">
        <v>847</v>
      </c>
      <c r="C696" s="33" t="s">
        <v>58</v>
      </c>
      <c r="D696" s="34" t="s">
        <v>509</v>
      </c>
      <c r="E696" s="33" t="s">
        <v>511</v>
      </c>
      <c r="F696" s="38">
        <v>27000000</v>
      </c>
      <c r="G696" s="38">
        <v>0</v>
      </c>
      <c r="H696" s="36">
        <f t="shared" si="40"/>
        <v>27000000</v>
      </c>
    </row>
    <row r="697" spans="1:8" ht="78.75">
      <c r="A697" s="37" t="s">
        <v>512</v>
      </c>
      <c r="B697" s="60">
        <v>847</v>
      </c>
      <c r="C697" s="33" t="s">
        <v>58</v>
      </c>
      <c r="D697" s="34" t="s">
        <v>513</v>
      </c>
      <c r="E697" s="34"/>
      <c r="F697" s="38">
        <f>F698+F700</f>
        <v>100000</v>
      </c>
      <c r="G697" s="38">
        <f>G698+G700</f>
        <v>0</v>
      </c>
      <c r="H697" s="36">
        <f t="shared" si="40"/>
        <v>100000</v>
      </c>
    </row>
    <row r="698" spans="1:8" ht="31.5">
      <c r="A698" s="41" t="s">
        <v>28</v>
      </c>
      <c r="B698" s="60">
        <v>847</v>
      </c>
      <c r="C698" s="33" t="s">
        <v>58</v>
      </c>
      <c r="D698" s="34" t="s">
        <v>513</v>
      </c>
      <c r="E698" s="34">
        <v>200</v>
      </c>
      <c r="F698" s="38">
        <f>F699</f>
        <v>991</v>
      </c>
      <c r="G698" s="38">
        <f>G699</f>
        <v>0</v>
      </c>
      <c r="H698" s="36">
        <f t="shared" si="40"/>
        <v>991</v>
      </c>
    </row>
    <row r="699" spans="1:8" ht="31.5">
      <c r="A699" s="41" t="s">
        <v>30</v>
      </c>
      <c r="B699" s="60">
        <v>847</v>
      </c>
      <c r="C699" s="33" t="s">
        <v>58</v>
      </c>
      <c r="D699" s="34" t="s">
        <v>513</v>
      </c>
      <c r="E699" s="34">
        <v>240</v>
      </c>
      <c r="F699" s="38">
        <v>991</v>
      </c>
      <c r="G699" s="38">
        <v>0</v>
      </c>
      <c r="H699" s="36">
        <f t="shared" si="40"/>
        <v>991</v>
      </c>
    </row>
    <row r="700" spans="1:8" ht="15.75">
      <c r="A700" s="41" t="s">
        <v>223</v>
      </c>
      <c r="B700" s="60">
        <v>847</v>
      </c>
      <c r="C700" s="33" t="s">
        <v>58</v>
      </c>
      <c r="D700" s="34" t="s">
        <v>513</v>
      </c>
      <c r="E700" s="34">
        <v>300</v>
      </c>
      <c r="F700" s="38">
        <f>F701</f>
        <v>99009</v>
      </c>
      <c r="G700" s="38">
        <f>G701</f>
        <v>0</v>
      </c>
      <c r="H700" s="36">
        <f t="shared" si="40"/>
        <v>99009</v>
      </c>
    </row>
    <row r="701" spans="1:8" ht="31.5">
      <c r="A701" s="41" t="s">
        <v>514</v>
      </c>
      <c r="B701" s="60">
        <v>847</v>
      </c>
      <c r="C701" s="33" t="s">
        <v>58</v>
      </c>
      <c r="D701" s="34" t="s">
        <v>513</v>
      </c>
      <c r="E701" s="34">
        <v>320</v>
      </c>
      <c r="F701" s="38">
        <v>99009</v>
      </c>
      <c r="G701" s="38">
        <v>0</v>
      </c>
      <c r="H701" s="36">
        <f t="shared" si="40"/>
        <v>99009</v>
      </c>
    </row>
    <row r="702" spans="1:8" ht="15.75">
      <c r="A702" s="23" t="s">
        <v>359</v>
      </c>
      <c r="B702" s="74">
        <v>847</v>
      </c>
      <c r="C702" s="24" t="s">
        <v>360</v>
      </c>
      <c r="D702" s="34"/>
      <c r="E702" s="50"/>
      <c r="F702" s="55">
        <f>SUM(F703,F711,F721,F795,F832)</f>
        <v>1070610150.48</v>
      </c>
      <c r="G702" s="55">
        <f>SUM(G703,G711,G721,G795,G832)</f>
        <v>-6398111.379999997</v>
      </c>
      <c r="H702" s="21">
        <f t="shared" si="40"/>
        <v>1064212039.1</v>
      </c>
    </row>
    <row r="703" spans="1:8" ht="15.75">
      <c r="A703" s="26" t="s">
        <v>515</v>
      </c>
      <c r="B703" s="75">
        <v>847</v>
      </c>
      <c r="C703" s="28" t="s">
        <v>516</v>
      </c>
      <c r="D703" s="34"/>
      <c r="E703" s="50"/>
      <c r="F703" s="45">
        <f aca="true" t="shared" si="43" ref="F703:G705">F704</f>
        <v>10500000</v>
      </c>
      <c r="G703" s="45">
        <f t="shared" si="43"/>
        <v>880000</v>
      </c>
      <c r="H703" s="30">
        <f t="shared" si="40"/>
        <v>11380000</v>
      </c>
    </row>
    <row r="704" spans="1:8" ht="31.5">
      <c r="A704" s="37" t="s">
        <v>243</v>
      </c>
      <c r="B704" s="60">
        <v>847</v>
      </c>
      <c r="C704" s="33" t="s">
        <v>516</v>
      </c>
      <c r="D704" s="34" t="s">
        <v>244</v>
      </c>
      <c r="E704" s="34"/>
      <c r="F704" s="38">
        <f t="shared" si="43"/>
        <v>10500000</v>
      </c>
      <c r="G704" s="38">
        <f t="shared" si="43"/>
        <v>880000</v>
      </c>
      <c r="H704" s="36">
        <f t="shared" si="40"/>
        <v>11380000</v>
      </c>
    </row>
    <row r="705" spans="1:8" ht="47.25">
      <c r="A705" s="37" t="s">
        <v>363</v>
      </c>
      <c r="B705" s="60">
        <v>847</v>
      </c>
      <c r="C705" s="33" t="s">
        <v>516</v>
      </c>
      <c r="D705" s="34" t="s">
        <v>364</v>
      </c>
      <c r="E705" s="34"/>
      <c r="F705" s="38">
        <f t="shared" si="43"/>
        <v>10500000</v>
      </c>
      <c r="G705" s="38">
        <f t="shared" si="43"/>
        <v>880000</v>
      </c>
      <c r="H705" s="36">
        <f t="shared" si="40"/>
        <v>11380000</v>
      </c>
    </row>
    <row r="706" spans="1:8" ht="47.25">
      <c r="A706" s="37" t="s">
        <v>517</v>
      </c>
      <c r="B706" s="60">
        <v>847</v>
      </c>
      <c r="C706" s="33" t="s">
        <v>516</v>
      </c>
      <c r="D706" s="34" t="s">
        <v>518</v>
      </c>
      <c r="E706" s="34"/>
      <c r="F706" s="38">
        <f>F709+F707</f>
        <v>10500000</v>
      </c>
      <c r="G706" s="38">
        <f>G709+G707</f>
        <v>880000</v>
      </c>
      <c r="H706" s="36">
        <f t="shared" si="40"/>
        <v>11380000</v>
      </c>
    </row>
    <row r="707" spans="1:8" ht="31.5">
      <c r="A707" s="41" t="s">
        <v>28</v>
      </c>
      <c r="B707" s="60">
        <v>847</v>
      </c>
      <c r="C707" s="33" t="s">
        <v>516</v>
      </c>
      <c r="D707" s="34" t="s">
        <v>518</v>
      </c>
      <c r="E707" s="34">
        <v>200</v>
      </c>
      <c r="F707" s="38">
        <f>F708</f>
        <v>104000</v>
      </c>
      <c r="G707" s="38">
        <f>G708</f>
        <v>6000</v>
      </c>
      <c r="H707" s="36">
        <f t="shared" si="40"/>
        <v>110000</v>
      </c>
    </row>
    <row r="708" spans="1:8" ht="31.5">
      <c r="A708" s="41" t="s">
        <v>30</v>
      </c>
      <c r="B708" s="60">
        <v>847</v>
      </c>
      <c r="C708" s="33" t="s">
        <v>516</v>
      </c>
      <c r="D708" s="34" t="s">
        <v>518</v>
      </c>
      <c r="E708" s="34">
        <v>240</v>
      </c>
      <c r="F708" s="38">
        <v>104000</v>
      </c>
      <c r="G708" s="38">
        <v>6000</v>
      </c>
      <c r="H708" s="36">
        <f t="shared" si="40"/>
        <v>110000</v>
      </c>
    </row>
    <row r="709" spans="1:8" ht="15.75">
      <c r="A709" s="37" t="s">
        <v>223</v>
      </c>
      <c r="B709" s="60">
        <v>847</v>
      </c>
      <c r="C709" s="33" t="s">
        <v>516</v>
      </c>
      <c r="D709" s="34" t="s">
        <v>518</v>
      </c>
      <c r="E709" s="34">
        <v>300</v>
      </c>
      <c r="F709" s="38">
        <f>F710</f>
        <v>10396000</v>
      </c>
      <c r="G709" s="38">
        <f>G710</f>
        <v>874000</v>
      </c>
      <c r="H709" s="36">
        <f t="shared" si="40"/>
        <v>11270000</v>
      </c>
    </row>
    <row r="710" spans="1:8" ht="31.5">
      <c r="A710" s="37" t="s">
        <v>519</v>
      </c>
      <c r="B710" s="60">
        <v>847</v>
      </c>
      <c r="C710" s="33" t="s">
        <v>516</v>
      </c>
      <c r="D710" s="34" t="s">
        <v>518</v>
      </c>
      <c r="E710" s="34">
        <v>310</v>
      </c>
      <c r="F710" s="38">
        <v>10396000</v>
      </c>
      <c r="G710" s="38">
        <v>874000</v>
      </c>
      <c r="H710" s="36">
        <f t="shared" si="40"/>
        <v>11270000</v>
      </c>
    </row>
    <row r="711" spans="1:8" ht="15.75">
      <c r="A711" s="58" t="s">
        <v>520</v>
      </c>
      <c r="B711" s="75">
        <v>847</v>
      </c>
      <c r="C711" s="28" t="s">
        <v>521</v>
      </c>
      <c r="D711" s="44"/>
      <c r="E711" s="44"/>
      <c r="F711" s="45">
        <f>F712</f>
        <v>69065044</v>
      </c>
      <c r="G711" s="45">
        <f>G712</f>
        <v>4713138</v>
      </c>
      <c r="H711" s="30">
        <f t="shared" si="40"/>
        <v>73778182</v>
      </c>
    </row>
    <row r="712" spans="1:8" ht="15.75">
      <c r="A712" s="31" t="s">
        <v>16</v>
      </c>
      <c r="B712" s="60">
        <v>847</v>
      </c>
      <c r="C712" s="33" t="s">
        <v>521</v>
      </c>
      <c r="D712" s="34" t="s">
        <v>17</v>
      </c>
      <c r="E712" s="33"/>
      <c r="F712" s="38">
        <f>F717+F713</f>
        <v>69065044</v>
      </c>
      <c r="G712" s="38">
        <f>G717+G713</f>
        <v>4713138</v>
      </c>
      <c r="H712" s="36">
        <f t="shared" si="40"/>
        <v>73778182</v>
      </c>
    </row>
    <row r="713" spans="1:8" s="39" customFormat="1" ht="47.25">
      <c r="A713" s="37" t="s">
        <v>44</v>
      </c>
      <c r="B713" s="60">
        <v>847</v>
      </c>
      <c r="C713" s="33" t="s">
        <v>521</v>
      </c>
      <c r="D713" s="34" t="s">
        <v>45</v>
      </c>
      <c r="E713" s="33"/>
      <c r="F713" s="38">
        <f aca="true" t="shared" si="44" ref="F713:G715">F714</f>
        <v>63965044</v>
      </c>
      <c r="G713" s="38">
        <f t="shared" si="44"/>
        <v>4713138</v>
      </c>
      <c r="H713" s="36">
        <f t="shared" si="40"/>
        <v>68678182</v>
      </c>
    </row>
    <row r="714" spans="1:8" s="39" customFormat="1" ht="47.25">
      <c r="A714" s="37" t="s">
        <v>522</v>
      </c>
      <c r="B714" s="60">
        <v>847</v>
      </c>
      <c r="C714" s="33" t="s">
        <v>521</v>
      </c>
      <c r="D714" s="34" t="s">
        <v>523</v>
      </c>
      <c r="E714" s="33"/>
      <c r="F714" s="38">
        <f t="shared" si="44"/>
        <v>63965044</v>
      </c>
      <c r="G714" s="38">
        <f t="shared" si="44"/>
        <v>4713138</v>
      </c>
      <c r="H714" s="36">
        <f t="shared" si="40"/>
        <v>68678182</v>
      </c>
    </row>
    <row r="715" spans="1:8" s="39" customFormat="1" ht="31.5">
      <c r="A715" s="37" t="s">
        <v>74</v>
      </c>
      <c r="B715" s="60">
        <v>847</v>
      </c>
      <c r="C715" s="33" t="s">
        <v>521</v>
      </c>
      <c r="D715" s="34" t="s">
        <v>523</v>
      </c>
      <c r="E715" s="33" t="s">
        <v>510</v>
      </c>
      <c r="F715" s="38">
        <f t="shared" si="44"/>
        <v>63965044</v>
      </c>
      <c r="G715" s="38">
        <f t="shared" si="44"/>
        <v>4713138</v>
      </c>
      <c r="H715" s="36">
        <f t="shared" si="40"/>
        <v>68678182</v>
      </c>
    </row>
    <row r="716" spans="1:8" s="39" customFormat="1" ht="15.75">
      <c r="A716" s="37" t="s">
        <v>75</v>
      </c>
      <c r="B716" s="60">
        <v>847</v>
      </c>
      <c r="C716" s="33" t="s">
        <v>521</v>
      </c>
      <c r="D716" s="34" t="s">
        <v>523</v>
      </c>
      <c r="E716" s="33" t="s">
        <v>511</v>
      </c>
      <c r="F716" s="38">
        <v>63965044</v>
      </c>
      <c r="G716" s="38">
        <f>3275530+1437608</f>
        <v>4713138</v>
      </c>
      <c r="H716" s="36">
        <f t="shared" si="40"/>
        <v>68678182</v>
      </c>
    </row>
    <row r="717" spans="1:8" ht="15.75">
      <c r="A717" s="37" t="s">
        <v>126</v>
      </c>
      <c r="B717" s="60">
        <v>847</v>
      </c>
      <c r="C717" s="33" t="s">
        <v>521</v>
      </c>
      <c r="D717" s="34" t="s">
        <v>127</v>
      </c>
      <c r="E717" s="34"/>
      <c r="F717" s="38">
        <f aca="true" t="shared" si="45" ref="F717:G719">F718</f>
        <v>5100000</v>
      </c>
      <c r="G717" s="38">
        <f t="shared" si="45"/>
        <v>0</v>
      </c>
      <c r="H717" s="36">
        <f t="shared" si="40"/>
        <v>5100000</v>
      </c>
    </row>
    <row r="718" spans="1:8" ht="63">
      <c r="A718" s="37" t="s">
        <v>506</v>
      </c>
      <c r="B718" s="60">
        <v>847</v>
      </c>
      <c r="C718" s="33" t="s">
        <v>521</v>
      </c>
      <c r="D718" s="34" t="s">
        <v>507</v>
      </c>
      <c r="E718" s="34"/>
      <c r="F718" s="38">
        <f t="shared" si="45"/>
        <v>5100000</v>
      </c>
      <c r="G718" s="38">
        <f t="shared" si="45"/>
        <v>0</v>
      </c>
      <c r="H718" s="36">
        <f t="shared" si="40"/>
        <v>5100000</v>
      </c>
    </row>
    <row r="719" spans="1:8" ht="31.5">
      <c r="A719" s="37" t="s">
        <v>74</v>
      </c>
      <c r="B719" s="60">
        <v>847</v>
      </c>
      <c r="C719" s="33" t="s">
        <v>521</v>
      </c>
      <c r="D719" s="34" t="s">
        <v>507</v>
      </c>
      <c r="E719" s="33" t="s">
        <v>510</v>
      </c>
      <c r="F719" s="38">
        <f t="shared" si="45"/>
        <v>5100000</v>
      </c>
      <c r="G719" s="38">
        <f t="shared" si="45"/>
        <v>0</v>
      </c>
      <c r="H719" s="36">
        <f t="shared" si="40"/>
        <v>5100000</v>
      </c>
    </row>
    <row r="720" spans="1:8" ht="15.75">
      <c r="A720" s="37" t="s">
        <v>75</v>
      </c>
      <c r="B720" s="60">
        <v>847</v>
      </c>
      <c r="C720" s="33" t="s">
        <v>521</v>
      </c>
      <c r="D720" s="34" t="s">
        <v>507</v>
      </c>
      <c r="E720" s="33" t="s">
        <v>511</v>
      </c>
      <c r="F720" s="38">
        <v>5100000</v>
      </c>
      <c r="G720" s="38">
        <v>0</v>
      </c>
      <c r="H720" s="36">
        <f t="shared" si="40"/>
        <v>5100000</v>
      </c>
    </row>
    <row r="721" spans="1:8" ht="15.75">
      <c r="A721" s="76" t="s">
        <v>524</v>
      </c>
      <c r="B721" s="75">
        <v>847</v>
      </c>
      <c r="C721" s="28">
        <v>1003</v>
      </c>
      <c r="D721" s="34"/>
      <c r="E721" s="50"/>
      <c r="F721" s="45">
        <f>F722</f>
        <v>458403801</v>
      </c>
      <c r="G721" s="45">
        <f>G722</f>
        <v>-55482257</v>
      </c>
      <c r="H721" s="30">
        <f t="shared" si="40"/>
        <v>402921544</v>
      </c>
    </row>
    <row r="722" spans="1:8" ht="31.5">
      <c r="A722" s="37" t="s">
        <v>243</v>
      </c>
      <c r="B722" s="60">
        <v>847</v>
      </c>
      <c r="C722" s="33" t="s">
        <v>525</v>
      </c>
      <c r="D722" s="34" t="s">
        <v>244</v>
      </c>
      <c r="E722" s="34"/>
      <c r="F722" s="38">
        <f>SUM(F723,F776,F789)</f>
        <v>458403801</v>
      </c>
      <c r="G722" s="38">
        <f>SUM(G723,G776,G789)</f>
        <v>-55482257</v>
      </c>
      <c r="H722" s="36">
        <f t="shared" si="40"/>
        <v>402921544</v>
      </c>
    </row>
    <row r="723" spans="1:8" ht="47.25">
      <c r="A723" s="37" t="s">
        <v>363</v>
      </c>
      <c r="B723" s="60">
        <v>847</v>
      </c>
      <c r="C723" s="33" t="s">
        <v>525</v>
      </c>
      <c r="D723" s="34" t="s">
        <v>364</v>
      </c>
      <c r="E723" s="34"/>
      <c r="F723" s="42">
        <f>SUM(F750,F755,F758,F763,F768,F724,F729,F734,F739,F745,F773)</f>
        <v>444633801</v>
      </c>
      <c r="G723" s="42">
        <f>SUM(G750,G755,G758,G763,G768,G724,G729,G734,G739,G745,G773)</f>
        <v>-54762257</v>
      </c>
      <c r="H723" s="36">
        <f t="shared" si="40"/>
        <v>389871544</v>
      </c>
    </row>
    <row r="724" spans="1:8" s="39" customFormat="1" ht="31.5">
      <c r="A724" s="37" t="s">
        <v>526</v>
      </c>
      <c r="B724" s="60">
        <v>847</v>
      </c>
      <c r="C724" s="33" t="s">
        <v>525</v>
      </c>
      <c r="D724" s="34" t="s">
        <v>527</v>
      </c>
      <c r="E724" s="34"/>
      <c r="F724" s="42">
        <f>F727+F725</f>
        <v>105750918</v>
      </c>
      <c r="G724" s="42">
        <f>G727+G725</f>
        <v>-22800000</v>
      </c>
      <c r="H724" s="36">
        <f t="shared" si="40"/>
        <v>82950918</v>
      </c>
    </row>
    <row r="725" spans="1:8" s="39" customFormat="1" ht="31.5">
      <c r="A725" s="41" t="s">
        <v>28</v>
      </c>
      <c r="B725" s="60">
        <v>847</v>
      </c>
      <c r="C725" s="33" t="s">
        <v>525</v>
      </c>
      <c r="D725" s="34" t="s">
        <v>527</v>
      </c>
      <c r="E725" s="34">
        <v>200</v>
      </c>
      <c r="F725" s="42">
        <f>F726</f>
        <v>1063893</v>
      </c>
      <c r="G725" s="42">
        <f>G726</f>
        <v>-218575</v>
      </c>
      <c r="H725" s="36">
        <f t="shared" si="40"/>
        <v>845318</v>
      </c>
    </row>
    <row r="726" spans="1:8" s="39" customFormat="1" ht="31.5">
      <c r="A726" s="37" t="s">
        <v>30</v>
      </c>
      <c r="B726" s="60">
        <v>847</v>
      </c>
      <c r="C726" s="33" t="s">
        <v>525</v>
      </c>
      <c r="D726" s="34" t="s">
        <v>527</v>
      </c>
      <c r="E726" s="34">
        <v>240</v>
      </c>
      <c r="F726" s="42">
        <v>1063893</v>
      </c>
      <c r="G726" s="42">
        <v>-218575</v>
      </c>
      <c r="H726" s="36">
        <f t="shared" si="40"/>
        <v>845318</v>
      </c>
    </row>
    <row r="727" spans="1:8" s="39" customFormat="1" ht="15.75">
      <c r="A727" s="37" t="s">
        <v>223</v>
      </c>
      <c r="B727" s="60">
        <v>847</v>
      </c>
      <c r="C727" s="33" t="s">
        <v>525</v>
      </c>
      <c r="D727" s="34" t="s">
        <v>527</v>
      </c>
      <c r="E727" s="34">
        <v>300</v>
      </c>
      <c r="F727" s="42">
        <f>F728</f>
        <v>104687025</v>
      </c>
      <c r="G727" s="42">
        <f>G728</f>
        <v>-22581425</v>
      </c>
      <c r="H727" s="36">
        <f t="shared" si="40"/>
        <v>82105600</v>
      </c>
    </row>
    <row r="728" spans="1:8" s="39" customFormat="1" ht="31.5">
      <c r="A728" s="37" t="s">
        <v>519</v>
      </c>
      <c r="B728" s="60">
        <v>847</v>
      </c>
      <c r="C728" s="33" t="s">
        <v>525</v>
      </c>
      <c r="D728" s="34" t="s">
        <v>527</v>
      </c>
      <c r="E728" s="34">
        <v>310</v>
      </c>
      <c r="F728" s="42">
        <v>104687025</v>
      </c>
      <c r="G728" s="42">
        <v>-22581425</v>
      </c>
      <c r="H728" s="36">
        <f t="shared" si="40"/>
        <v>82105600</v>
      </c>
    </row>
    <row r="729" spans="1:8" s="39" customFormat="1" ht="47.25">
      <c r="A729" s="37" t="s">
        <v>528</v>
      </c>
      <c r="B729" s="60">
        <v>847</v>
      </c>
      <c r="C729" s="33" t="s">
        <v>525</v>
      </c>
      <c r="D729" s="34" t="s">
        <v>529</v>
      </c>
      <c r="E729" s="34"/>
      <c r="F729" s="42">
        <f>F732+F730</f>
        <v>8553395</v>
      </c>
      <c r="G729" s="42">
        <f>G732+G730</f>
        <v>587743.0000000001</v>
      </c>
      <c r="H729" s="36">
        <f t="shared" si="40"/>
        <v>9141138</v>
      </c>
    </row>
    <row r="730" spans="1:8" s="39" customFormat="1" ht="31.5">
      <c r="A730" s="41" t="s">
        <v>28</v>
      </c>
      <c r="B730" s="60">
        <v>847</v>
      </c>
      <c r="C730" s="33" t="s">
        <v>525</v>
      </c>
      <c r="D730" s="34" t="s">
        <v>529</v>
      </c>
      <c r="E730" s="34">
        <v>200</v>
      </c>
      <c r="F730" s="42">
        <f>F731</f>
        <v>84340</v>
      </c>
      <c r="G730" s="42">
        <f>G731</f>
        <v>5626.16</v>
      </c>
      <c r="H730" s="36">
        <f t="shared" si="40"/>
        <v>89966.16</v>
      </c>
    </row>
    <row r="731" spans="1:8" s="39" customFormat="1" ht="31.5">
      <c r="A731" s="37" t="s">
        <v>30</v>
      </c>
      <c r="B731" s="60">
        <v>847</v>
      </c>
      <c r="C731" s="33" t="s">
        <v>525</v>
      </c>
      <c r="D731" s="34" t="s">
        <v>529</v>
      </c>
      <c r="E731" s="34">
        <v>240</v>
      </c>
      <c r="F731" s="42">
        <v>84340</v>
      </c>
      <c r="G731" s="42">
        <f>5075-914.28+1465.44</f>
        <v>5626.16</v>
      </c>
      <c r="H731" s="36">
        <f aca="true" t="shared" si="46" ref="H731:H794">SUM(F731:G731)</f>
        <v>89966.16</v>
      </c>
    </row>
    <row r="732" spans="1:8" s="39" customFormat="1" ht="15.75">
      <c r="A732" s="37" t="s">
        <v>223</v>
      </c>
      <c r="B732" s="60">
        <v>847</v>
      </c>
      <c r="C732" s="33" t="s">
        <v>525</v>
      </c>
      <c r="D732" s="34" t="s">
        <v>529</v>
      </c>
      <c r="E732" s="34">
        <v>300</v>
      </c>
      <c r="F732" s="42">
        <f>F733</f>
        <v>8469055</v>
      </c>
      <c r="G732" s="42">
        <f>G733</f>
        <v>582116.8400000001</v>
      </c>
      <c r="H732" s="36">
        <f t="shared" si="46"/>
        <v>9051171.84</v>
      </c>
    </row>
    <row r="733" spans="1:8" s="39" customFormat="1" ht="31.5">
      <c r="A733" s="37" t="s">
        <v>519</v>
      </c>
      <c r="B733" s="60">
        <v>847</v>
      </c>
      <c r="C733" s="33" t="s">
        <v>525</v>
      </c>
      <c r="D733" s="34" t="s">
        <v>529</v>
      </c>
      <c r="E733" s="34">
        <v>310</v>
      </c>
      <c r="F733" s="42">
        <v>8469055</v>
      </c>
      <c r="G733" s="42">
        <f>409265+31427.28+141424.56</f>
        <v>582116.8400000001</v>
      </c>
      <c r="H733" s="36">
        <f t="shared" si="46"/>
        <v>9051171.84</v>
      </c>
    </row>
    <row r="734" spans="1:8" s="39" customFormat="1" ht="31.5">
      <c r="A734" s="37" t="s">
        <v>530</v>
      </c>
      <c r="B734" s="60">
        <v>847</v>
      </c>
      <c r="C734" s="33" t="s">
        <v>525</v>
      </c>
      <c r="D734" s="34" t="s">
        <v>531</v>
      </c>
      <c r="E734" s="34"/>
      <c r="F734" s="42">
        <f>F737+F735</f>
        <v>34397971</v>
      </c>
      <c r="G734" s="42">
        <f>G737+G735</f>
        <v>-12000000</v>
      </c>
      <c r="H734" s="36">
        <f t="shared" si="46"/>
        <v>22397971</v>
      </c>
    </row>
    <row r="735" spans="1:8" s="39" customFormat="1" ht="31.5">
      <c r="A735" s="41" t="s">
        <v>28</v>
      </c>
      <c r="B735" s="60">
        <v>847</v>
      </c>
      <c r="C735" s="33" t="s">
        <v>525</v>
      </c>
      <c r="D735" s="34" t="s">
        <v>531</v>
      </c>
      <c r="E735" s="34">
        <v>200</v>
      </c>
      <c r="F735" s="42">
        <f>F736</f>
        <v>343980</v>
      </c>
      <c r="G735" s="42">
        <f>G736</f>
        <v>-121978</v>
      </c>
      <c r="H735" s="36">
        <f t="shared" si="46"/>
        <v>222002</v>
      </c>
    </row>
    <row r="736" spans="1:8" s="39" customFormat="1" ht="31.5">
      <c r="A736" s="37" t="s">
        <v>30</v>
      </c>
      <c r="B736" s="60">
        <v>847</v>
      </c>
      <c r="C736" s="33" t="s">
        <v>525</v>
      </c>
      <c r="D736" s="34" t="s">
        <v>531</v>
      </c>
      <c r="E736" s="34">
        <v>240</v>
      </c>
      <c r="F736" s="42">
        <v>343980</v>
      </c>
      <c r="G736" s="42">
        <v>-121978</v>
      </c>
      <c r="H736" s="36">
        <f t="shared" si="46"/>
        <v>222002</v>
      </c>
    </row>
    <row r="737" spans="1:8" s="39" customFormat="1" ht="15.75">
      <c r="A737" s="37" t="s">
        <v>223</v>
      </c>
      <c r="B737" s="60">
        <v>847</v>
      </c>
      <c r="C737" s="33" t="s">
        <v>525</v>
      </c>
      <c r="D737" s="34" t="s">
        <v>531</v>
      </c>
      <c r="E737" s="34">
        <v>300</v>
      </c>
      <c r="F737" s="42">
        <f>F738</f>
        <v>34053991</v>
      </c>
      <c r="G737" s="42">
        <f>G738</f>
        <v>-11878022</v>
      </c>
      <c r="H737" s="36">
        <f t="shared" si="46"/>
        <v>22175969</v>
      </c>
    </row>
    <row r="738" spans="1:8" s="16" customFormat="1" ht="31.5">
      <c r="A738" s="37" t="s">
        <v>519</v>
      </c>
      <c r="B738" s="60">
        <v>847</v>
      </c>
      <c r="C738" s="33" t="s">
        <v>525</v>
      </c>
      <c r="D738" s="34" t="s">
        <v>531</v>
      </c>
      <c r="E738" s="34">
        <v>310</v>
      </c>
      <c r="F738" s="42">
        <v>34053991</v>
      </c>
      <c r="G738" s="42">
        <v>-11878022</v>
      </c>
      <c r="H738" s="36">
        <f t="shared" si="46"/>
        <v>22175969</v>
      </c>
    </row>
    <row r="739" spans="1:8" s="39" customFormat="1" ht="47.25">
      <c r="A739" s="37" t="s">
        <v>532</v>
      </c>
      <c r="B739" s="60">
        <v>847</v>
      </c>
      <c r="C739" s="33" t="s">
        <v>525</v>
      </c>
      <c r="D739" s="34" t="s">
        <v>533</v>
      </c>
      <c r="E739" s="34"/>
      <c r="F739" s="42">
        <f>F742+F740</f>
        <v>287793043</v>
      </c>
      <c r="G739" s="42">
        <f>G742+G740</f>
        <v>-20550000</v>
      </c>
      <c r="H739" s="36">
        <f t="shared" si="46"/>
        <v>267243043</v>
      </c>
    </row>
    <row r="740" spans="1:8" s="39" customFormat="1" ht="31.5">
      <c r="A740" s="41" t="s">
        <v>28</v>
      </c>
      <c r="B740" s="60">
        <v>847</v>
      </c>
      <c r="C740" s="33" t="s">
        <v>525</v>
      </c>
      <c r="D740" s="34" t="s">
        <v>533</v>
      </c>
      <c r="E740" s="34">
        <v>200</v>
      </c>
      <c r="F740" s="42">
        <f>F741</f>
        <v>2888776</v>
      </c>
      <c r="G740" s="42">
        <f>G741</f>
        <v>220000</v>
      </c>
      <c r="H740" s="36">
        <f t="shared" si="46"/>
        <v>3108776</v>
      </c>
    </row>
    <row r="741" spans="1:8" s="39" customFormat="1" ht="31.5">
      <c r="A741" s="37" t="s">
        <v>30</v>
      </c>
      <c r="B741" s="60">
        <v>847</v>
      </c>
      <c r="C741" s="33" t="s">
        <v>525</v>
      </c>
      <c r="D741" s="34" t="s">
        <v>533</v>
      </c>
      <c r="E741" s="34">
        <v>240</v>
      </c>
      <c r="F741" s="42">
        <v>2888776</v>
      </c>
      <c r="G741" s="42">
        <v>220000</v>
      </c>
      <c r="H741" s="36">
        <f t="shared" si="46"/>
        <v>3108776</v>
      </c>
    </row>
    <row r="742" spans="1:8" s="39" customFormat="1" ht="15.75">
      <c r="A742" s="37" t="s">
        <v>223</v>
      </c>
      <c r="B742" s="60">
        <v>847</v>
      </c>
      <c r="C742" s="33" t="s">
        <v>525</v>
      </c>
      <c r="D742" s="34" t="s">
        <v>533</v>
      </c>
      <c r="E742" s="34">
        <v>300</v>
      </c>
      <c r="F742" s="42">
        <f>SUM(F743:F744)</f>
        <v>284904267</v>
      </c>
      <c r="G742" s="42">
        <f>SUM(G743:G744)</f>
        <v>-20770000</v>
      </c>
      <c r="H742" s="36">
        <f t="shared" si="46"/>
        <v>264134267</v>
      </c>
    </row>
    <row r="743" spans="1:8" s="39" customFormat="1" ht="31.5">
      <c r="A743" s="37" t="s">
        <v>519</v>
      </c>
      <c r="B743" s="60">
        <v>847</v>
      </c>
      <c r="C743" s="33" t="s">
        <v>525</v>
      </c>
      <c r="D743" s="34" t="s">
        <v>533</v>
      </c>
      <c r="E743" s="34">
        <v>310</v>
      </c>
      <c r="F743" s="42">
        <v>247310407</v>
      </c>
      <c r="G743" s="42">
        <f>-5000000-11000000-4050000-720000</f>
        <v>-20770000</v>
      </c>
      <c r="H743" s="36">
        <f t="shared" si="46"/>
        <v>226540407</v>
      </c>
    </row>
    <row r="744" spans="1:8" s="39" customFormat="1" ht="31.5">
      <c r="A744" s="37" t="s">
        <v>514</v>
      </c>
      <c r="B744" s="60">
        <v>847</v>
      </c>
      <c r="C744" s="33" t="s">
        <v>525</v>
      </c>
      <c r="D744" s="34" t="s">
        <v>533</v>
      </c>
      <c r="E744" s="34">
        <v>320</v>
      </c>
      <c r="F744" s="42">
        <f>20590157+17003703</f>
        <v>37593860</v>
      </c>
      <c r="G744" s="42">
        <f>-500000+500000</f>
        <v>0</v>
      </c>
      <c r="H744" s="36">
        <f t="shared" si="46"/>
        <v>37593860</v>
      </c>
    </row>
    <row r="745" spans="1:8" s="39" customFormat="1" ht="47.25">
      <c r="A745" s="37" t="s">
        <v>534</v>
      </c>
      <c r="B745" s="60">
        <v>847</v>
      </c>
      <c r="C745" s="33" t="s">
        <v>525</v>
      </c>
      <c r="D745" s="34" t="s">
        <v>535</v>
      </c>
      <c r="E745" s="34"/>
      <c r="F745" s="42">
        <f>F748+F746</f>
        <v>49263</v>
      </c>
      <c r="G745" s="42">
        <f>G748+G746</f>
        <v>0</v>
      </c>
      <c r="H745" s="36">
        <f t="shared" si="46"/>
        <v>49263</v>
      </c>
    </row>
    <row r="746" spans="1:8" s="39" customFormat="1" ht="31.5">
      <c r="A746" s="41" t="s">
        <v>28</v>
      </c>
      <c r="B746" s="60">
        <v>847</v>
      </c>
      <c r="C746" s="33" t="s">
        <v>525</v>
      </c>
      <c r="D746" s="34" t="s">
        <v>535</v>
      </c>
      <c r="E746" s="34">
        <v>200</v>
      </c>
      <c r="F746" s="42">
        <f>F747</f>
        <v>488</v>
      </c>
      <c r="G746" s="42">
        <f>G747</f>
        <v>0</v>
      </c>
      <c r="H746" s="36">
        <f t="shared" si="46"/>
        <v>488</v>
      </c>
    </row>
    <row r="747" spans="1:8" s="39" customFormat="1" ht="31.5">
      <c r="A747" s="37" t="s">
        <v>30</v>
      </c>
      <c r="B747" s="60">
        <v>847</v>
      </c>
      <c r="C747" s="33" t="s">
        <v>525</v>
      </c>
      <c r="D747" s="34" t="s">
        <v>535</v>
      </c>
      <c r="E747" s="34">
        <v>240</v>
      </c>
      <c r="F747" s="42">
        <v>488</v>
      </c>
      <c r="G747" s="42">
        <v>0</v>
      </c>
      <c r="H747" s="36">
        <f t="shared" si="46"/>
        <v>488</v>
      </c>
    </row>
    <row r="748" spans="1:8" s="16" customFormat="1" ht="15.75">
      <c r="A748" s="37" t="s">
        <v>223</v>
      </c>
      <c r="B748" s="60">
        <v>847</v>
      </c>
      <c r="C748" s="33" t="s">
        <v>525</v>
      </c>
      <c r="D748" s="34" t="s">
        <v>535</v>
      </c>
      <c r="E748" s="34">
        <v>300</v>
      </c>
      <c r="F748" s="42">
        <f>F749</f>
        <v>48775</v>
      </c>
      <c r="G748" s="42">
        <f>G749</f>
        <v>0</v>
      </c>
      <c r="H748" s="36">
        <f t="shared" si="46"/>
        <v>48775</v>
      </c>
    </row>
    <row r="749" spans="1:8" s="39" customFormat="1" ht="31.5">
      <c r="A749" s="37" t="s">
        <v>519</v>
      </c>
      <c r="B749" s="60">
        <v>847</v>
      </c>
      <c r="C749" s="33" t="s">
        <v>525</v>
      </c>
      <c r="D749" s="34" t="s">
        <v>535</v>
      </c>
      <c r="E749" s="34">
        <v>310</v>
      </c>
      <c r="F749" s="42">
        <v>48775</v>
      </c>
      <c r="G749" s="42">
        <v>0</v>
      </c>
      <c r="H749" s="36">
        <f t="shared" si="46"/>
        <v>48775</v>
      </c>
    </row>
    <row r="750" spans="1:8" s="16" customFormat="1" ht="31.5">
      <c r="A750" s="37" t="s">
        <v>536</v>
      </c>
      <c r="B750" s="60">
        <v>847</v>
      </c>
      <c r="C750" s="33" t="s">
        <v>525</v>
      </c>
      <c r="D750" s="34" t="s">
        <v>537</v>
      </c>
      <c r="E750" s="34"/>
      <c r="F750" s="42">
        <f>F753+F751</f>
        <v>600000</v>
      </c>
      <c r="G750" s="42">
        <f>G753+G751</f>
        <v>0</v>
      </c>
      <c r="H750" s="36">
        <f t="shared" si="46"/>
        <v>600000</v>
      </c>
    </row>
    <row r="751" spans="1:8" s="16" customFormat="1" ht="31.5">
      <c r="A751" s="41" t="s">
        <v>28</v>
      </c>
      <c r="B751" s="60">
        <v>847</v>
      </c>
      <c r="C751" s="33" t="s">
        <v>525</v>
      </c>
      <c r="D751" s="34" t="s">
        <v>537</v>
      </c>
      <c r="E751" s="34">
        <v>200</v>
      </c>
      <c r="F751" s="42">
        <f>F752</f>
        <v>6000</v>
      </c>
      <c r="G751" s="42">
        <f>G752</f>
        <v>0</v>
      </c>
      <c r="H751" s="36">
        <f t="shared" si="46"/>
        <v>6000</v>
      </c>
    </row>
    <row r="752" spans="1:8" s="16" customFormat="1" ht="31.5">
      <c r="A752" s="37" t="s">
        <v>30</v>
      </c>
      <c r="B752" s="60">
        <v>847</v>
      </c>
      <c r="C752" s="33" t="s">
        <v>525</v>
      </c>
      <c r="D752" s="34" t="s">
        <v>537</v>
      </c>
      <c r="E752" s="34">
        <v>240</v>
      </c>
      <c r="F752" s="42">
        <v>6000</v>
      </c>
      <c r="G752" s="42">
        <v>0</v>
      </c>
      <c r="H752" s="36">
        <f t="shared" si="46"/>
        <v>6000</v>
      </c>
    </row>
    <row r="753" spans="1:8" s="16" customFormat="1" ht="15.75">
      <c r="A753" s="37" t="s">
        <v>223</v>
      </c>
      <c r="B753" s="60">
        <v>847</v>
      </c>
      <c r="C753" s="33" t="s">
        <v>525</v>
      </c>
      <c r="D753" s="34" t="s">
        <v>537</v>
      </c>
      <c r="E753" s="34">
        <v>300</v>
      </c>
      <c r="F753" s="42">
        <f>F754</f>
        <v>594000</v>
      </c>
      <c r="G753" s="42">
        <f>G754</f>
        <v>0</v>
      </c>
      <c r="H753" s="36">
        <f t="shared" si="46"/>
        <v>594000</v>
      </c>
    </row>
    <row r="754" spans="1:8" s="16" customFormat="1" ht="31.5">
      <c r="A754" s="37" t="s">
        <v>519</v>
      </c>
      <c r="B754" s="60">
        <v>847</v>
      </c>
      <c r="C754" s="33" t="s">
        <v>525</v>
      </c>
      <c r="D754" s="34" t="s">
        <v>537</v>
      </c>
      <c r="E754" s="34">
        <v>310</v>
      </c>
      <c r="F754" s="42">
        <v>594000</v>
      </c>
      <c r="G754" s="42">
        <v>0</v>
      </c>
      <c r="H754" s="36">
        <f t="shared" si="46"/>
        <v>594000</v>
      </c>
    </row>
    <row r="755" spans="1:8" s="16" customFormat="1" ht="63">
      <c r="A755" s="37" t="s">
        <v>538</v>
      </c>
      <c r="B755" s="60">
        <v>847</v>
      </c>
      <c r="C755" s="33" t="s">
        <v>525</v>
      </c>
      <c r="D755" s="34" t="s">
        <v>539</v>
      </c>
      <c r="E755" s="34"/>
      <c r="F755" s="42">
        <f>SUM(F756)</f>
        <v>100000</v>
      </c>
      <c r="G755" s="42">
        <f>SUM(G756)</f>
        <v>0</v>
      </c>
      <c r="H755" s="36">
        <f t="shared" si="46"/>
        <v>100000</v>
      </c>
    </row>
    <row r="756" spans="1:8" s="39" customFormat="1" ht="15.75">
      <c r="A756" s="37" t="s">
        <v>223</v>
      </c>
      <c r="B756" s="60">
        <v>847</v>
      </c>
      <c r="C756" s="33" t="s">
        <v>525</v>
      </c>
      <c r="D756" s="34" t="s">
        <v>539</v>
      </c>
      <c r="E756" s="34">
        <v>300</v>
      </c>
      <c r="F756" s="42">
        <f>F757</f>
        <v>100000</v>
      </c>
      <c r="G756" s="42">
        <f>G757</f>
        <v>0</v>
      </c>
      <c r="H756" s="36">
        <f t="shared" si="46"/>
        <v>100000</v>
      </c>
    </row>
    <row r="757" spans="1:8" s="16" customFormat="1" ht="31.5">
      <c r="A757" s="37" t="s">
        <v>519</v>
      </c>
      <c r="B757" s="60">
        <v>847</v>
      </c>
      <c r="C757" s="33" t="s">
        <v>525</v>
      </c>
      <c r="D757" s="34" t="s">
        <v>539</v>
      </c>
      <c r="E757" s="34">
        <v>310</v>
      </c>
      <c r="F757" s="42">
        <v>100000</v>
      </c>
      <c r="G757" s="42">
        <v>0</v>
      </c>
      <c r="H757" s="36">
        <f t="shared" si="46"/>
        <v>100000</v>
      </c>
    </row>
    <row r="758" spans="1:8" s="16" customFormat="1" ht="31.5">
      <c r="A758" s="37" t="s">
        <v>540</v>
      </c>
      <c r="B758" s="60">
        <v>847</v>
      </c>
      <c r="C758" s="33" t="s">
        <v>525</v>
      </c>
      <c r="D758" s="34" t="s">
        <v>541</v>
      </c>
      <c r="E758" s="34"/>
      <c r="F758" s="42">
        <f>F761+F759</f>
        <v>800000</v>
      </c>
      <c r="G758" s="42">
        <f>G761+G759</f>
        <v>0</v>
      </c>
      <c r="H758" s="36">
        <f t="shared" si="46"/>
        <v>800000</v>
      </c>
    </row>
    <row r="759" spans="1:8" s="16" customFormat="1" ht="31.5">
      <c r="A759" s="41" t="s">
        <v>28</v>
      </c>
      <c r="B759" s="60">
        <v>847</v>
      </c>
      <c r="C759" s="33" t="s">
        <v>525</v>
      </c>
      <c r="D759" s="34" t="s">
        <v>541</v>
      </c>
      <c r="E759" s="34">
        <v>200</v>
      </c>
      <c r="F759" s="42">
        <f>F760</f>
        <v>120000</v>
      </c>
      <c r="G759" s="42">
        <f>G760</f>
        <v>60000</v>
      </c>
      <c r="H759" s="36">
        <f t="shared" si="46"/>
        <v>180000</v>
      </c>
    </row>
    <row r="760" spans="1:8" s="39" customFormat="1" ht="31.5">
      <c r="A760" s="37" t="s">
        <v>30</v>
      </c>
      <c r="B760" s="60">
        <v>847</v>
      </c>
      <c r="C760" s="33">
        <v>1003</v>
      </c>
      <c r="D760" s="34" t="s">
        <v>541</v>
      </c>
      <c r="E760" s="34">
        <v>240</v>
      </c>
      <c r="F760" s="42">
        <v>120000</v>
      </c>
      <c r="G760" s="42">
        <v>60000</v>
      </c>
      <c r="H760" s="36">
        <f t="shared" si="46"/>
        <v>180000</v>
      </c>
    </row>
    <row r="761" spans="1:8" s="39" customFormat="1" ht="15.75">
      <c r="A761" s="37" t="s">
        <v>223</v>
      </c>
      <c r="B761" s="60">
        <v>847</v>
      </c>
      <c r="C761" s="33" t="s">
        <v>525</v>
      </c>
      <c r="D761" s="34" t="s">
        <v>541</v>
      </c>
      <c r="E761" s="34">
        <v>300</v>
      </c>
      <c r="F761" s="42">
        <f>F762</f>
        <v>680000</v>
      </c>
      <c r="G761" s="42">
        <f>G762</f>
        <v>-60000</v>
      </c>
      <c r="H761" s="36">
        <f t="shared" si="46"/>
        <v>620000</v>
      </c>
    </row>
    <row r="762" spans="1:8" s="16" customFormat="1" ht="31.5">
      <c r="A762" s="37" t="s">
        <v>519</v>
      </c>
      <c r="B762" s="60">
        <v>847</v>
      </c>
      <c r="C762" s="33" t="s">
        <v>525</v>
      </c>
      <c r="D762" s="34" t="s">
        <v>541</v>
      </c>
      <c r="E762" s="34">
        <v>310</v>
      </c>
      <c r="F762" s="42">
        <v>680000</v>
      </c>
      <c r="G762" s="42">
        <v>-60000</v>
      </c>
      <c r="H762" s="36">
        <f t="shared" si="46"/>
        <v>620000</v>
      </c>
    </row>
    <row r="763" spans="1:8" s="16" customFormat="1" ht="47.25">
      <c r="A763" s="37" t="s">
        <v>542</v>
      </c>
      <c r="B763" s="60">
        <v>847</v>
      </c>
      <c r="C763" s="33">
        <v>1003</v>
      </c>
      <c r="D763" s="34" t="s">
        <v>543</v>
      </c>
      <c r="E763" s="34"/>
      <c r="F763" s="42">
        <f>F766+F764</f>
        <v>4300000</v>
      </c>
      <c r="G763" s="42">
        <f>G766+G764</f>
        <v>0</v>
      </c>
      <c r="H763" s="36">
        <f t="shared" si="46"/>
        <v>4300000</v>
      </c>
    </row>
    <row r="764" spans="1:8" s="39" customFormat="1" ht="31.5">
      <c r="A764" s="41" t="s">
        <v>28</v>
      </c>
      <c r="B764" s="60">
        <v>847</v>
      </c>
      <c r="C764" s="33">
        <v>1003</v>
      </c>
      <c r="D764" s="34" t="s">
        <v>543</v>
      </c>
      <c r="E764" s="34">
        <v>200</v>
      </c>
      <c r="F764" s="42">
        <f>F765</f>
        <v>43000</v>
      </c>
      <c r="G764" s="42">
        <f>G765</f>
        <v>0</v>
      </c>
      <c r="H764" s="36">
        <f t="shared" si="46"/>
        <v>43000</v>
      </c>
    </row>
    <row r="765" spans="1:8" s="16" customFormat="1" ht="31.5">
      <c r="A765" s="37" t="s">
        <v>30</v>
      </c>
      <c r="B765" s="60">
        <v>847</v>
      </c>
      <c r="C765" s="33">
        <v>1003</v>
      </c>
      <c r="D765" s="34" t="s">
        <v>543</v>
      </c>
      <c r="E765" s="34">
        <v>240</v>
      </c>
      <c r="F765" s="42">
        <v>43000</v>
      </c>
      <c r="G765" s="42">
        <v>0</v>
      </c>
      <c r="H765" s="36">
        <f t="shared" si="46"/>
        <v>43000</v>
      </c>
    </row>
    <row r="766" spans="1:8" s="16" customFormat="1" ht="15.75">
      <c r="A766" s="37" t="s">
        <v>223</v>
      </c>
      <c r="B766" s="60">
        <v>847</v>
      </c>
      <c r="C766" s="33" t="s">
        <v>525</v>
      </c>
      <c r="D766" s="34" t="s">
        <v>543</v>
      </c>
      <c r="E766" s="34">
        <v>300</v>
      </c>
      <c r="F766" s="42">
        <f>F767</f>
        <v>4257000</v>
      </c>
      <c r="G766" s="42">
        <f>G767</f>
        <v>0</v>
      </c>
      <c r="H766" s="36">
        <f t="shared" si="46"/>
        <v>4257000</v>
      </c>
    </row>
    <row r="767" spans="1:8" s="39" customFormat="1" ht="31.5">
      <c r="A767" s="37" t="s">
        <v>519</v>
      </c>
      <c r="B767" s="60">
        <v>847</v>
      </c>
      <c r="C767" s="33" t="s">
        <v>525</v>
      </c>
      <c r="D767" s="34" t="s">
        <v>543</v>
      </c>
      <c r="E767" s="34">
        <v>310</v>
      </c>
      <c r="F767" s="42">
        <v>4257000</v>
      </c>
      <c r="G767" s="42">
        <v>0</v>
      </c>
      <c r="H767" s="36">
        <f t="shared" si="46"/>
        <v>4257000</v>
      </c>
    </row>
    <row r="768" spans="1:8" s="39" customFormat="1" ht="15.75">
      <c r="A768" s="37" t="s">
        <v>544</v>
      </c>
      <c r="B768" s="60">
        <v>847</v>
      </c>
      <c r="C768" s="33">
        <v>1003</v>
      </c>
      <c r="D768" s="34" t="s">
        <v>545</v>
      </c>
      <c r="E768" s="34"/>
      <c r="F768" s="42">
        <f>F771+F769</f>
        <v>330000</v>
      </c>
      <c r="G768" s="42">
        <f>G771+G769</f>
        <v>0</v>
      </c>
      <c r="H768" s="36">
        <f t="shared" si="46"/>
        <v>330000</v>
      </c>
    </row>
    <row r="769" spans="1:8" s="39" customFormat="1" ht="31.5">
      <c r="A769" s="41" t="s">
        <v>28</v>
      </c>
      <c r="B769" s="60">
        <v>847</v>
      </c>
      <c r="C769" s="33">
        <v>1003</v>
      </c>
      <c r="D769" s="34" t="s">
        <v>545</v>
      </c>
      <c r="E769" s="34">
        <v>200</v>
      </c>
      <c r="F769" s="42">
        <f>F770</f>
        <v>4000</v>
      </c>
      <c r="G769" s="42">
        <f>G770</f>
        <v>0</v>
      </c>
      <c r="H769" s="36">
        <f t="shared" si="46"/>
        <v>4000</v>
      </c>
    </row>
    <row r="770" spans="1:8" s="39" customFormat="1" ht="31.5">
      <c r="A770" s="37" t="s">
        <v>30</v>
      </c>
      <c r="B770" s="60">
        <v>847</v>
      </c>
      <c r="C770" s="33">
        <v>1003</v>
      </c>
      <c r="D770" s="34" t="s">
        <v>545</v>
      </c>
      <c r="E770" s="34">
        <v>240</v>
      </c>
      <c r="F770" s="42">
        <v>4000</v>
      </c>
      <c r="G770" s="42">
        <v>0</v>
      </c>
      <c r="H770" s="36">
        <f t="shared" si="46"/>
        <v>4000</v>
      </c>
    </row>
    <row r="771" spans="1:8" s="39" customFormat="1" ht="15.75">
      <c r="A771" s="37" t="s">
        <v>223</v>
      </c>
      <c r="B771" s="60">
        <v>847</v>
      </c>
      <c r="C771" s="33" t="s">
        <v>525</v>
      </c>
      <c r="D771" s="34" t="s">
        <v>545</v>
      </c>
      <c r="E771" s="34">
        <v>300</v>
      </c>
      <c r="F771" s="42">
        <f>F772</f>
        <v>326000</v>
      </c>
      <c r="G771" s="42">
        <f>G772</f>
        <v>0</v>
      </c>
      <c r="H771" s="36">
        <f t="shared" si="46"/>
        <v>326000</v>
      </c>
    </row>
    <row r="772" spans="1:8" s="39" customFormat="1" ht="31.5">
      <c r="A772" s="37" t="s">
        <v>519</v>
      </c>
      <c r="B772" s="60">
        <v>847</v>
      </c>
      <c r="C772" s="33" t="s">
        <v>525</v>
      </c>
      <c r="D772" s="34" t="s">
        <v>545</v>
      </c>
      <c r="E772" s="34">
        <v>310</v>
      </c>
      <c r="F772" s="42">
        <v>326000</v>
      </c>
      <c r="G772" s="42">
        <v>0</v>
      </c>
      <c r="H772" s="36">
        <f t="shared" si="46"/>
        <v>326000</v>
      </c>
    </row>
    <row r="773" spans="1:8" s="16" customFormat="1" ht="47.25">
      <c r="A773" s="37" t="s">
        <v>546</v>
      </c>
      <c r="B773" s="60">
        <v>847</v>
      </c>
      <c r="C773" s="33" t="s">
        <v>525</v>
      </c>
      <c r="D773" s="34" t="s">
        <v>547</v>
      </c>
      <c r="E773" s="34"/>
      <c r="F773" s="42">
        <f>F774</f>
        <v>1959211</v>
      </c>
      <c r="G773" s="42">
        <f>G774</f>
        <v>0</v>
      </c>
      <c r="H773" s="36">
        <f t="shared" si="46"/>
        <v>1959211</v>
      </c>
    </row>
    <row r="774" spans="1:8" s="16" customFormat="1" ht="15.75">
      <c r="A774" s="37" t="s">
        <v>223</v>
      </c>
      <c r="B774" s="60">
        <v>847</v>
      </c>
      <c r="C774" s="33" t="s">
        <v>525</v>
      </c>
      <c r="D774" s="34" t="s">
        <v>547</v>
      </c>
      <c r="E774" s="34">
        <v>300</v>
      </c>
      <c r="F774" s="42">
        <f>F775</f>
        <v>1959211</v>
      </c>
      <c r="G774" s="42">
        <f>G775</f>
        <v>0</v>
      </c>
      <c r="H774" s="36">
        <f t="shared" si="46"/>
        <v>1959211</v>
      </c>
    </row>
    <row r="775" spans="1:8" s="39" customFormat="1" ht="31.5">
      <c r="A775" s="37" t="s">
        <v>519</v>
      </c>
      <c r="B775" s="60">
        <v>847</v>
      </c>
      <c r="C775" s="33" t="s">
        <v>525</v>
      </c>
      <c r="D775" s="34" t="s">
        <v>547</v>
      </c>
      <c r="E775" s="34">
        <v>310</v>
      </c>
      <c r="F775" s="42">
        <v>1959211</v>
      </c>
      <c r="G775" s="42">
        <v>0</v>
      </c>
      <c r="H775" s="36">
        <f t="shared" si="46"/>
        <v>1959211</v>
      </c>
    </row>
    <row r="776" spans="1:8" s="16" customFormat="1" ht="15.75">
      <c r="A776" s="31" t="s">
        <v>245</v>
      </c>
      <c r="B776" s="60">
        <v>847</v>
      </c>
      <c r="C776" s="33">
        <v>1003</v>
      </c>
      <c r="D776" s="34" t="s">
        <v>246</v>
      </c>
      <c r="E776" s="34"/>
      <c r="F776" s="38">
        <f>SUM(F777,F780,F783,F786)</f>
        <v>3770000</v>
      </c>
      <c r="G776" s="38">
        <f>SUM(G777,G780,G783,G786)</f>
        <v>-720000</v>
      </c>
      <c r="H776" s="36">
        <f t="shared" si="46"/>
        <v>3050000</v>
      </c>
    </row>
    <row r="777" spans="1:8" s="39" customFormat="1" ht="78.75">
      <c r="A777" s="37" t="s">
        <v>247</v>
      </c>
      <c r="B777" s="60">
        <v>847</v>
      </c>
      <c r="C777" s="33">
        <v>1003</v>
      </c>
      <c r="D777" s="34" t="s">
        <v>248</v>
      </c>
      <c r="E777" s="34"/>
      <c r="F777" s="42">
        <f>F778</f>
        <v>600000</v>
      </c>
      <c r="G777" s="42">
        <f>G778</f>
        <v>-600000</v>
      </c>
      <c r="H777" s="36">
        <f t="shared" si="46"/>
        <v>0</v>
      </c>
    </row>
    <row r="778" spans="1:8" s="16" customFormat="1" ht="31.5">
      <c r="A778" s="41" t="s">
        <v>28</v>
      </c>
      <c r="B778" s="60">
        <v>847</v>
      </c>
      <c r="C778" s="33">
        <v>1003</v>
      </c>
      <c r="D778" s="34" t="s">
        <v>248</v>
      </c>
      <c r="E778" s="34">
        <v>200</v>
      </c>
      <c r="F778" s="42">
        <f>F779</f>
        <v>600000</v>
      </c>
      <c r="G778" s="42">
        <f>G779</f>
        <v>-600000</v>
      </c>
      <c r="H778" s="36">
        <f t="shared" si="46"/>
        <v>0</v>
      </c>
    </row>
    <row r="779" spans="1:8" s="16" customFormat="1" ht="31.5">
      <c r="A779" s="41" t="s">
        <v>30</v>
      </c>
      <c r="B779" s="60">
        <v>847</v>
      </c>
      <c r="C779" s="33">
        <v>1003</v>
      </c>
      <c r="D779" s="34" t="s">
        <v>248</v>
      </c>
      <c r="E779" s="34">
        <v>240</v>
      </c>
      <c r="F779" s="42">
        <v>600000</v>
      </c>
      <c r="G779" s="42">
        <v>-600000</v>
      </c>
      <c r="H779" s="36">
        <f t="shared" si="46"/>
        <v>0</v>
      </c>
    </row>
    <row r="780" spans="1:8" s="39" customFormat="1" ht="31.5">
      <c r="A780" s="51" t="s">
        <v>548</v>
      </c>
      <c r="B780" s="60">
        <v>847</v>
      </c>
      <c r="C780" s="33">
        <v>1003</v>
      </c>
      <c r="D780" s="34" t="s">
        <v>549</v>
      </c>
      <c r="E780" s="34"/>
      <c r="F780" s="42">
        <f>F781</f>
        <v>1850000</v>
      </c>
      <c r="G780" s="42">
        <f>G781</f>
        <v>0</v>
      </c>
      <c r="H780" s="36">
        <f t="shared" si="46"/>
        <v>1850000</v>
      </c>
    </row>
    <row r="781" spans="1:8" s="16" customFormat="1" ht="31.5">
      <c r="A781" s="41" t="s">
        <v>28</v>
      </c>
      <c r="B781" s="60">
        <v>847</v>
      </c>
      <c r="C781" s="33">
        <v>1003</v>
      </c>
      <c r="D781" s="34" t="s">
        <v>549</v>
      </c>
      <c r="E781" s="34">
        <v>200</v>
      </c>
      <c r="F781" s="42">
        <f>F782</f>
        <v>1850000</v>
      </c>
      <c r="G781" s="42">
        <f>G782</f>
        <v>0</v>
      </c>
      <c r="H781" s="36">
        <f t="shared" si="46"/>
        <v>1850000</v>
      </c>
    </row>
    <row r="782" spans="1:8" s="16" customFormat="1" ht="31.5">
      <c r="A782" s="41" t="s">
        <v>30</v>
      </c>
      <c r="B782" s="60">
        <v>847</v>
      </c>
      <c r="C782" s="33">
        <v>1003</v>
      </c>
      <c r="D782" s="34" t="s">
        <v>549</v>
      </c>
      <c r="E782" s="34">
        <v>240</v>
      </c>
      <c r="F782" s="42">
        <v>1850000</v>
      </c>
      <c r="G782" s="42">
        <v>0</v>
      </c>
      <c r="H782" s="36">
        <f t="shared" si="46"/>
        <v>1850000</v>
      </c>
    </row>
    <row r="783" spans="1:8" s="16" customFormat="1" ht="31.5">
      <c r="A783" s="37" t="s">
        <v>550</v>
      </c>
      <c r="B783" s="60">
        <v>847</v>
      </c>
      <c r="C783" s="33">
        <v>1003</v>
      </c>
      <c r="D783" s="34" t="s">
        <v>551</v>
      </c>
      <c r="E783" s="34"/>
      <c r="F783" s="42">
        <f>F784</f>
        <v>1200000</v>
      </c>
      <c r="G783" s="42">
        <f>G784</f>
        <v>0</v>
      </c>
      <c r="H783" s="36">
        <f t="shared" si="46"/>
        <v>1200000</v>
      </c>
    </row>
    <row r="784" spans="1:8" s="39" customFormat="1" ht="31.5">
      <c r="A784" s="41" t="s">
        <v>28</v>
      </c>
      <c r="B784" s="60">
        <v>847</v>
      </c>
      <c r="C784" s="33">
        <v>1003</v>
      </c>
      <c r="D784" s="34" t="s">
        <v>551</v>
      </c>
      <c r="E784" s="34">
        <v>200</v>
      </c>
      <c r="F784" s="42">
        <f>F785</f>
        <v>1200000</v>
      </c>
      <c r="G784" s="42">
        <f>G785</f>
        <v>0</v>
      </c>
      <c r="H784" s="36">
        <f t="shared" si="46"/>
        <v>1200000</v>
      </c>
    </row>
    <row r="785" spans="1:8" s="16" customFormat="1" ht="31.5">
      <c r="A785" s="41" t="s">
        <v>30</v>
      </c>
      <c r="B785" s="60">
        <v>847</v>
      </c>
      <c r="C785" s="33">
        <v>1003</v>
      </c>
      <c r="D785" s="34" t="s">
        <v>551</v>
      </c>
      <c r="E785" s="34">
        <v>240</v>
      </c>
      <c r="F785" s="42">
        <v>1200000</v>
      </c>
      <c r="G785" s="42">
        <v>0</v>
      </c>
      <c r="H785" s="36">
        <f t="shared" si="46"/>
        <v>1200000</v>
      </c>
    </row>
    <row r="786" spans="1:8" s="53" customFormat="1" ht="31.5">
      <c r="A786" s="37" t="s">
        <v>552</v>
      </c>
      <c r="B786" s="60">
        <v>847</v>
      </c>
      <c r="C786" s="33">
        <v>1003</v>
      </c>
      <c r="D786" s="34" t="s">
        <v>553</v>
      </c>
      <c r="E786" s="34"/>
      <c r="F786" s="42">
        <f>F787</f>
        <v>120000</v>
      </c>
      <c r="G786" s="42">
        <f>G787</f>
        <v>-120000</v>
      </c>
      <c r="H786" s="36">
        <f t="shared" si="46"/>
        <v>0</v>
      </c>
    </row>
    <row r="787" spans="1:8" s="39" customFormat="1" ht="31.5">
      <c r="A787" s="41" t="s">
        <v>28</v>
      </c>
      <c r="B787" s="60">
        <v>847</v>
      </c>
      <c r="C787" s="33">
        <v>1003</v>
      </c>
      <c r="D787" s="34" t="s">
        <v>553</v>
      </c>
      <c r="E787" s="34">
        <v>200</v>
      </c>
      <c r="F787" s="42">
        <f>F788</f>
        <v>120000</v>
      </c>
      <c r="G787" s="42">
        <f>G788</f>
        <v>-120000</v>
      </c>
      <c r="H787" s="36">
        <f t="shared" si="46"/>
        <v>0</v>
      </c>
    </row>
    <row r="788" spans="1:8" s="39" customFormat="1" ht="31.5">
      <c r="A788" s="41" t="s">
        <v>30</v>
      </c>
      <c r="B788" s="60">
        <v>847</v>
      </c>
      <c r="C788" s="33">
        <v>1003</v>
      </c>
      <c r="D788" s="34" t="s">
        <v>553</v>
      </c>
      <c r="E788" s="34">
        <v>240</v>
      </c>
      <c r="F788" s="42">
        <v>120000</v>
      </c>
      <c r="G788" s="42">
        <v>-120000</v>
      </c>
      <c r="H788" s="36">
        <f t="shared" si="46"/>
        <v>0</v>
      </c>
    </row>
    <row r="789" spans="1:8" s="39" customFormat="1" ht="15.75">
      <c r="A789" s="37" t="s">
        <v>554</v>
      </c>
      <c r="B789" s="60">
        <v>847</v>
      </c>
      <c r="C789" s="33">
        <v>1003</v>
      </c>
      <c r="D789" s="34" t="s">
        <v>555</v>
      </c>
      <c r="E789" s="34"/>
      <c r="F789" s="42">
        <f>F790</f>
        <v>10000000</v>
      </c>
      <c r="G789" s="42">
        <f>G790</f>
        <v>0</v>
      </c>
      <c r="H789" s="36">
        <f t="shared" si="46"/>
        <v>10000000</v>
      </c>
    </row>
    <row r="790" spans="1:8" s="39" customFormat="1" ht="31.5">
      <c r="A790" s="37" t="s">
        <v>556</v>
      </c>
      <c r="B790" s="60">
        <v>847</v>
      </c>
      <c r="C790" s="33">
        <v>1003</v>
      </c>
      <c r="D790" s="34" t="s">
        <v>557</v>
      </c>
      <c r="E790" s="34"/>
      <c r="F790" s="42">
        <f>F793+F791</f>
        <v>10000000</v>
      </c>
      <c r="G790" s="42">
        <f>G793+G791</f>
        <v>0</v>
      </c>
      <c r="H790" s="36">
        <f t="shared" si="46"/>
        <v>10000000</v>
      </c>
    </row>
    <row r="791" spans="1:8" s="39" customFormat="1" ht="31.5">
      <c r="A791" s="41" t="s">
        <v>28</v>
      </c>
      <c r="B791" s="60">
        <v>847</v>
      </c>
      <c r="C791" s="33">
        <v>1003</v>
      </c>
      <c r="D791" s="34" t="s">
        <v>557</v>
      </c>
      <c r="E791" s="34">
        <v>200</v>
      </c>
      <c r="F791" s="42">
        <f>F792</f>
        <v>99010</v>
      </c>
      <c r="G791" s="42">
        <f>G792</f>
        <v>0</v>
      </c>
      <c r="H791" s="36">
        <f t="shared" si="46"/>
        <v>99010</v>
      </c>
    </row>
    <row r="792" spans="1:8" s="39" customFormat="1" ht="31.5">
      <c r="A792" s="41" t="s">
        <v>30</v>
      </c>
      <c r="B792" s="60">
        <v>847</v>
      </c>
      <c r="C792" s="33">
        <v>1003</v>
      </c>
      <c r="D792" s="34" t="s">
        <v>557</v>
      </c>
      <c r="E792" s="34">
        <v>240</v>
      </c>
      <c r="F792" s="42">
        <v>99010</v>
      </c>
      <c r="G792" s="42">
        <v>0</v>
      </c>
      <c r="H792" s="36">
        <f t="shared" si="46"/>
        <v>99010</v>
      </c>
    </row>
    <row r="793" spans="1:8" s="16" customFormat="1" ht="15.75">
      <c r="A793" s="37" t="s">
        <v>223</v>
      </c>
      <c r="B793" s="60">
        <v>847</v>
      </c>
      <c r="C793" s="33">
        <v>1003</v>
      </c>
      <c r="D793" s="34" t="s">
        <v>557</v>
      </c>
      <c r="E793" s="34">
        <v>300</v>
      </c>
      <c r="F793" s="42">
        <f>F794</f>
        <v>9900990</v>
      </c>
      <c r="G793" s="42">
        <f>G794</f>
        <v>0</v>
      </c>
      <c r="H793" s="36">
        <f t="shared" si="46"/>
        <v>9900990</v>
      </c>
    </row>
    <row r="794" spans="1:8" s="16" customFormat="1" ht="31.5">
      <c r="A794" s="37" t="s">
        <v>514</v>
      </c>
      <c r="B794" s="60">
        <v>847</v>
      </c>
      <c r="C794" s="33">
        <v>1003</v>
      </c>
      <c r="D794" s="34" t="s">
        <v>557</v>
      </c>
      <c r="E794" s="34">
        <v>320</v>
      </c>
      <c r="F794" s="42">
        <v>9900990</v>
      </c>
      <c r="G794" s="42">
        <v>0</v>
      </c>
      <c r="H794" s="36">
        <f t="shared" si="46"/>
        <v>9900990</v>
      </c>
    </row>
    <row r="795" spans="1:8" s="16" customFormat="1" ht="15.75">
      <c r="A795" s="76" t="s">
        <v>558</v>
      </c>
      <c r="B795" s="27" t="s">
        <v>505</v>
      </c>
      <c r="C795" s="28" t="s">
        <v>559</v>
      </c>
      <c r="D795" s="34"/>
      <c r="E795" s="34"/>
      <c r="F795" s="59">
        <f>F796+F827</f>
        <v>449591471.48</v>
      </c>
      <c r="G795" s="59">
        <f>G796+G827</f>
        <v>36902565.52</v>
      </c>
      <c r="H795" s="30">
        <f aca="true" t="shared" si="47" ref="H795:H858">SUM(F795:G795)</f>
        <v>486494037</v>
      </c>
    </row>
    <row r="796" spans="1:8" s="16" customFormat="1" ht="31.5">
      <c r="A796" s="37" t="s">
        <v>243</v>
      </c>
      <c r="B796" s="60">
        <v>847</v>
      </c>
      <c r="C796" s="33" t="s">
        <v>559</v>
      </c>
      <c r="D796" s="34" t="s">
        <v>244</v>
      </c>
      <c r="E796" s="34"/>
      <c r="F796" s="42">
        <f>F823+F797</f>
        <v>449591471.48</v>
      </c>
      <c r="G796" s="42">
        <f>G823+G797</f>
        <v>36730151.52</v>
      </c>
      <c r="H796" s="36">
        <f t="shared" si="47"/>
        <v>486321623</v>
      </c>
    </row>
    <row r="797" spans="1:8" s="16" customFormat="1" ht="47.25">
      <c r="A797" s="37" t="s">
        <v>363</v>
      </c>
      <c r="B797" s="60">
        <v>847</v>
      </c>
      <c r="C797" s="33" t="s">
        <v>559</v>
      </c>
      <c r="D797" s="34" t="s">
        <v>364</v>
      </c>
      <c r="E797" s="34"/>
      <c r="F797" s="42">
        <f>SUM(F798,F806,F811,F817,F820,F803,F814)</f>
        <v>433296326</v>
      </c>
      <c r="G797" s="42">
        <f>SUM(G798,G806,G811,G817,G820,G803,G814)</f>
        <v>38263452</v>
      </c>
      <c r="H797" s="36">
        <f t="shared" si="47"/>
        <v>471559778</v>
      </c>
    </row>
    <row r="798" spans="1:8" s="16" customFormat="1" ht="31.5">
      <c r="A798" s="37" t="s">
        <v>560</v>
      </c>
      <c r="B798" s="60">
        <v>847</v>
      </c>
      <c r="C798" s="33" t="s">
        <v>559</v>
      </c>
      <c r="D798" s="34" t="s">
        <v>561</v>
      </c>
      <c r="E798" s="34"/>
      <c r="F798" s="42">
        <f>F801+F799</f>
        <v>20914819</v>
      </c>
      <c r="G798" s="42">
        <f>G801+G799</f>
        <v>423930</v>
      </c>
      <c r="H798" s="36">
        <f t="shared" si="47"/>
        <v>21338749</v>
      </c>
    </row>
    <row r="799" spans="1:8" s="16" customFormat="1" ht="31.5">
      <c r="A799" s="41" t="s">
        <v>28</v>
      </c>
      <c r="B799" s="60">
        <v>847</v>
      </c>
      <c r="C799" s="33" t="s">
        <v>559</v>
      </c>
      <c r="D799" s="34" t="s">
        <v>561</v>
      </c>
      <c r="E799" s="34">
        <v>200</v>
      </c>
      <c r="F799" s="42">
        <f>F800</f>
        <v>1052879</v>
      </c>
      <c r="G799" s="42">
        <f>G800</f>
        <v>403930</v>
      </c>
      <c r="H799" s="36">
        <f t="shared" si="47"/>
        <v>1456809</v>
      </c>
    </row>
    <row r="800" spans="1:8" s="16" customFormat="1" ht="31.5">
      <c r="A800" s="37" t="s">
        <v>30</v>
      </c>
      <c r="B800" s="60">
        <v>847</v>
      </c>
      <c r="C800" s="33" t="s">
        <v>559</v>
      </c>
      <c r="D800" s="34" t="s">
        <v>561</v>
      </c>
      <c r="E800" s="34">
        <v>240</v>
      </c>
      <c r="F800" s="42">
        <v>1052879</v>
      </c>
      <c r="G800" s="42">
        <f>280000+123930</f>
        <v>403930</v>
      </c>
      <c r="H800" s="36">
        <f t="shared" si="47"/>
        <v>1456809</v>
      </c>
    </row>
    <row r="801" spans="1:8" s="16" customFormat="1" ht="15.75">
      <c r="A801" s="37" t="s">
        <v>223</v>
      </c>
      <c r="B801" s="60">
        <v>847</v>
      </c>
      <c r="C801" s="33" t="s">
        <v>559</v>
      </c>
      <c r="D801" s="34" t="s">
        <v>561</v>
      </c>
      <c r="E801" s="34">
        <v>300</v>
      </c>
      <c r="F801" s="42">
        <f>F802</f>
        <v>19861940</v>
      </c>
      <c r="G801" s="42">
        <f>G802</f>
        <v>20000</v>
      </c>
      <c r="H801" s="36">
        <f t="shared" si="47"/>
        <v>19881940</v>
      </c>
    </row>
    <row r="802" spans="1:8" s="16" customFormat="1" ht="31.5">
      <c r="A802" s="37" t="s">
        <v>519</v>
      </c>
      <c r="B802" s="60">
        <v>847</v>
      </c>
      <c r="C802" s="33" t="s">
        <v>559</v>
      </c>
      <c r="D802" s="34" t="s">
        <v>561</v>
      </c>
      <c r="E802" s="34">
        <v>310</v>
      </c>
      <c r="F802" s="42">
        <v>19861940</v>
      </c>
      <c r="G802" s="42">
        <f>-280000+300000</f>
        <v>20000</v>
      </c>
      <c r="H802" s="36">
        <f t="shared" si="47"/>
        <v>19881940</v>
      </c>
    </row>
    <row r="803" spans="1:8" s="39" customFormat="1" ht="31.5">
      <c r="A803" s="37" t="s">
        <v>562</v>
      </c>
      <c r="B803" s="60">
        <v>847</v>
      </c>
      <c r="C803" s="33" t="s">
        <v>559</v>
      </c>
      <c r="D803" s="34" t="s">
        <v>563</v>
      </c>
      <c r="E803" s="34"/>
      <c r="F803" s="42">
        <f>F804</f>
        <v>185914711</v>
      </c>
      <c r="G803" s="42">
        <f>G804</f>
        <v>9478282</v>
      </c>
      <c r="H803" s="36">
        <f t="shared" si="47"/>
        <v>195392993</v>
      </c>
    </row>
    <row r="804" spans="1:8" s="39" customFormat="1" ht="15.75">
      <c r="A804" s="37" t="s">
        <v>223</v>
      </c>
      <c r="B804" s="60">
        <v>847</v>
      </c>
      <c r="C804" s="33" t="s">
        <v>559</v>
      </c>
      <c r="D804" s="34" t="s">
        <v>563</v>
      </c>
      <c r="E804" s="34">
        <v>300</v>
      </c>
      <c r="F804" s="42">
        <f>F805</f>
        <v>185914711</v>
      </c>
      <c r="G804" s="42">
        <f>G805</f>
        <v>9478282</v>
      </c>
      <c r="H804" s="36">
        <f t="shared" si="47"/>
        <v>195392993</v>
      </c>
    </row>
    <row r="805" spans="1:8" s="39" customFormat="1" ht="31.5">
      <c r="A805" s="37" t="s">
        <v>519</v>
      </c>
      <c r="B805" s="60">
        <v>847</v>
      </c>
      <c r="C805" s="33" t="s">
        <v>559</v>
      </c>
      <c r="D805" s="34" t="s">
        <v>563</v>
      </c>
      <c r="E805" s="34">
        <v>310</v>
      </c>
      <c r="F805" s="42">
        <v>185914711</v>
      </c>
      <c r="G805" s="42">
        <v>9478282</v>
      </c>
      <c r="H805" s="36">
        <f t="shared" si="47"/>
        <v>195392993</v>
      </c>
    </row>
    <row r="806" spans="1:8" s="39" customFormat="1" ht="63">
      <c r="A806" s="37" t="s">
        <v>564</v>
      </c>
      <c r="B806" s="60">
        <v>847</v>
      </c>
      <c r="C806" s="33" t="s">
        <v>559</v>
      </c>
      <c r="D806" s="34" t="s">
        <v>565</v>
      </c>
      <c r="E806" s="34"/>
      <c r="F806" s="42">
        <f>F807+F809</f>
        <v>53642763</v>
      </c>
      <c r="G806" s="42">
        <f>G807+G809</f>
        <v>1452000</v>
      </c>
      <c r="H806" s="36">
        <f t="shared" si="47"/>
        <v>55094763</v>
      </c>
    </row>
    <row r="807" spans="1:8" s="39" customFormat="1" ht="31.5">
      <c r="A807" s="41" t="s">
        <v>28</v>
      </c>
      <c r="B807" s="60">
        <v>847</v>
      </c>
      <c r="C807" s="33" t="s">
        <v>559</v>
      </c>
      <c r="D807" s="34" t="s">
        <v>565</v>
      </c>
      <c r="E807" s="34">
        <v>200</v>
      </c>
      <c r="F807" s="42">
        <f>F808</f>
        <v>438139</v>
      </c>
      <c r="G807" s="42">
        <f>G808</f>
        <v>40000</v>
      </c>
      <c r="H807" s="36">
        <f t="shared" si="47"/>
        <v>478139</v>
      </c>
    </row>
    <row r="808" spans="1:8" s="39" customFormat="1" ht="31.5">
      <c r="A808" s="37" t="s">
        <v>30</v>
      </c>
      <c r="B808" s="60">
        <v>847</v>
      </c>
      <c r="C808" s="33" t="s">
        <v>559</v>
      </c>
      <c r="D808" s="34" t="s">
        <v>565</v>
      </c>
      <c r="E808" s="34">
        <v>240</v>
      </c>
      <c r="F808" s="42">
        <v>438139</v>
      </c>
      <c r="G808" s="42">
        <v>40000</v>
      </c>
      <c r="H808" s="36">
        <f t="shared" si="47"/>
        <v>478139</v>
      </c>
    </row>
    <row r="809" spans="1:8" s="39" customFormat="1" ht="15.75">
      <c r="A809" s="37" t="s">
        <v>223</v>
      </c>
      <c r="B809" s="60">
        <v>847</v>
      </c>
      <c r="C809" s="33" t="s">
        <v>559</v>
      </c>
      <c r="D809" s="34" t="s">
        <v>565</v>
      </c>
      <c r="E809" s="34">
        <v>300</v>
      </c>
      <c r="F809" s="42">
        <f>F810</f>
        <v>53204624</v>
      </c>
      <c r="G809" s="42">
        <f>G810</f>
        <v>1412000</v>
      </c>
      <c r="H809" s="36">
        <f t="shared" si="47"/>
        <v>54616624</v>
      </c>
    </row>
    <row r="810" spans="1:8" s="39" customFormat="1" ht="24.75" customHeight="1">
      <c r="A810" s="37" t="s">
        <v>519</v>
      </c>
      <c r="B810" s="60">
        <v>847</v>
      </c>
      <c r="C810" s="33" t="s">
        <v>559</v>
      </c>
      <c r="D810" s="34" t="s">
        <v>565</v>
      </c>
      <c r="E810" s="34">
        <v>310</v>
      </c>
      <c r="F810" s="42">
        <v>53204624</v>
      </c>
      <c r="G810" s="42">
        <v>1412000</v>
      </c>
      <c r="H810" s="36">
        <f t="shared" si="47"/>
        <v>54616624</v>
      </c>
    </row>
    <row r="811" spans="1:8" s="16" customFormat="1" ht="94.5">
      <c r="A811" s="37" t="s">
        <v>566</v>
      </c>
      <c r="B811" s="60">
        <v>847</v>
      </c>
      <c r="C811" s="33" t="s">
        <v>559</v>
      </c>
      <c r="D811" s="34" t="s">
        <v>567</v>
      </c>
      <c r="E811" s="34"/>
      <c r="F811" s="42">
        <f>F812</f>
        <v>91236070</v>
      </c>
      <c r="G811" s="42">
        <f>G812</f>
        <v>15850000</v>
      </c>
      <c r="H811" s="36">
        <f t="shared" si="47"/>
        <v>107086070</v>
      </c>
    </row>
    <row r="812" spans="1:8" s="16" customFormat="1" ht="15.75">
      <c r="A812" s="37" t="s">
        <v>223</v>
      </c>
      <c r="B812" s="60">
        <v>847</v>
      </c>
      <c r="C812" s="33" t="s">
        <v>559</v>
      </c>
      <c r="D812" s="34" t="s">
        <v>567</v>
      </c>
      <c r="E812" s="34">
        <v>300</v>
      </c>
      <c r="F812" s="42">
        <f>F813</f>
        <v>91236070</v>
      </c>
      <c r="G812" s="42">
        <f>G813</f>
        <v>15850000</v>
      </c>
      <c r="H812" s="36">
        <f t="shared" si="47"/>
        <v>107086070</v>
      </c>
    </row>
    <row r="813" spans="1:8" s="16" customFormat="1" ht="22.5" customHeight="1">
      <c r="A813" s="37" t="s">
        <v>519</v>
      </c>
      <c r="B813" s="60">
        <v>847</v>
      </c>
      <c r="C813" s="33" t="s">
        <v>559</v>
      </c>
      <c r="D813" s="34" t="s">
        <v>567</v>
      </c>
      <c r="E813" s="34">
        <v>310</v>
      </c>
      <c r="F813" s="42">
        <v>91236070</v>
      </c>
      <c r="G813" s="42">
        <v>15850000</v>
      </c>
      <c r="H813" s="36">
        <f t="shared" si="47"/>
        <v>107086070</v>
      </c>
    </row>
    <row r="814" spans="1:8" s="16" customFormat="1" ht="110.25" customHeight="1">
      <c r="A814" s="37" t="s">
        <v>568</v>
      </c>
      <c r="B814" s="60">
        <v>847</v>
      </c>
      <c r="C814" s="33" t="s">
        <v>559</v>
      </c>
      <c r="D814" s="34" t="s">
        <v>569</v>
      </c>
      <c r="E814" s="34"/>
      <c r="F814" s="42">
        <f>F815</f>
        <v>0</v>
      </c>
      <c r="G814" s="42">
        <f>G815</f>
        <v>7459240</v>
      </c>
      <c r="H814" s="36">
        <f t="shared" si="47"/>
        <v>7459240</v>
      </c>
    </row>
    <row r="815" spans="1:8" s="16" customFormat="1" ht="22.5" customHeight="1">
      <c r="A815" s="37" t="s">
        <v>223</v>
      </c>
      <c r="B815" s="60">
        <v>847</v>
      </c>
      <c r="C815" s="33" t="s">
        <v>559</v>
      </c>
      <c r="D815" s="34" t="s">
        <v>569</v>
      </c>
      <c r="E815" s="34">
        <v>300</v>
      </c>
      <c r="F815" s="42">
        <f>F816</f>
        <v>0</v>
      </c>
      <c r="G815" s="42">
        <f>G816</f>
        <v>7459240</v>
      </c>
      <c r="H815" s="36">
        <f t="shared" si="47"/>
        <v>7459240</v>
      </c>
    </row>
    <row r="816" spans="1:8" s="16" customFormat="1" ht="22.5" customHeight="1">
      <c r="A816" s="37" t="s">
        <v>519</v>
      </c>
      <c r="B816" s="60">
        <v>847</v>
      </c>
      <c r="C816" s="33" t="s">
        <v>559</v>
      </c>
      <c r="D816" s="34" t="s">
        <v>569</v>
      </c>
      <c r="E816" s="34">
        <v>310</v>
      </c>
      <c r="F816" s="42">
        <v>0</v>
      </c>
      <c r="G816" s="42">
        <v>7459240</v>
      </c>
      <c r="H816" s="36">
        <f t="shared" si="47"/>
        <v>7459240</v>
      </c>
    </row>
    <row r="817" spans="1:8" s="39" customFormat="1" ht="63">
      <c r="A817" s="37" t="s">
        <v>570</v>
      </c>
      <c r="B817" s="60">
        <v>847</v>
      </c>
      <c r="C817" s="33" t="s">
        <v>559</v>
      </c>
      <c r="D817" s="34" t="s">
        <v>571</v>
      </c>
      <c r="E817" s="34"/>
      <c r="F817" s="42">
        <f>F818</f>
        <v>79527661</v>
      </c>
      <c r="G817" s="42">
        <f>G818</f>
        <v>0</v>
      </c>
      <c r="H817" s="36">
        <f t="shared" si="47"/>
        <v>79527661</v>
      </c>
    </row>
    <row r="818" spans="1:8" s="39" customFormat="1" ht="15.75">
      <c r="A818" s="37" t="s">
        <v>223</v>
      </c>
      <c r="B818" s="60">
        <v>847</v>
      </c>
      <c r="C818" s="33" t="s">
        <v>559</v>
      </c>
      <c r="D818" s="34" t="s">
        <v>571</v>
      </c>
      <c r="E818" s="34">
        <v>300</v>
      </c>
      <c r="F818" s="42">
        <f>F819</f>
        <v>79527661</v>
      </c>
      <c r="G818" s="42">
        <f>G819</f>
        <v>0</v>
      </c>
      <c r="H818" s="36">
        <f t="shared" si="47"/>
        <v>79527661</v>
      </c>
    </row>
    <row r="819" spans="1:8" s="39" customFormat="1" ht="31.5">
      <c r="A819" s="37" t="s">
        <v>519</v>
      </c>
      <c r="B819" s="60">
        <v>847</v>
      </c>
      <c r="C819" s="33" t="s">
        <v>559</v>
      </c>
      <c r="D819" s="34" t="s">
        <v>571</v>
      </c>
      <c r="E819" s="34">
        <v>310</v>
      </c>
      <c r="F819" s="42">
        <v>79527661</v>
      </c>
      <c r="G819" s="42">
        <v>0</v>
      </c>
      <c r="H819" s="36">
        <f t="shared" si="47"/>
        <v>79527661</v>
      </c>
    </row>
    <row r="820" spans="1:8" s="39" customFormat="1" ht="110.25">
      <c r="A820" s="37" t="s">
        <v>572</v>
      </c>
      <c r="B820" s="60">
        <v>847</v>
      </c>
      <c r="C820" s="33" t="s">
        <v>559</v>
      </c>
      <c r="D820" s="34" t="s">
        <v>573</v>
      </c>
      <c r="E820" s="34"/>
      <c r="F820" s="42">
        <f>F821</f>
        <v>2060302</v>
      </c>
      <c r="G820" s="42">
        <f>G821</f>
        <v>3600000</v>
      </c>
      <c r="H820" s="36">
        <f t="shared" si="47"/>
        <v>5660302</v>
      </c>
    </row>
    <row r="821" spans="1:8" s="39" customFormat="1" ht="15.75">
      <c r="A821" s="37" t="s">
        <v>223</v>
      </c>
      <c r="B821" s="60">
        <v>847</v>
      </c>
      <c r="C821" s="33" t="s">
        <v>559</v>
      </c>
      <c r="D821" s="34" t="s">
        <v>573</v>
      </c>
      <c r="E821" s="34">
        <v>300</v>
      </c>
      <c r="F821" s="42">
        <f>F822</f>
        <v>2060302</v>
      </c>
      <c r="G821" s="42">
        <f>G822</f>
        <v>3600000</v>
      </c>
      <c r="H821" s="36">
        <f t="shared" si="47"/>
        <v>5660302</v>
      </c>
    </row>
    <row r="822" spans="1:8" s="39" customFormat="1" ht="31.5">
      <c r="A822" s="37" t="s">
        <v>519</v>
      </c>
      <c r="B822" s="60">
        <v>847</v>
      </c>
      <c r="C822" s="33" t="s">
        <v>559</v>
      </c>
      <c r="D822" s="34" t="s">
        <v>573</v>
      </c>
      <c r="E822" s="34">
        <v>310</v>
      </c>
      <c r="F822" s="42">
        <v>2060302</v>
      </c>
      <c r="G822" s="42">
        <f>3800000-200000</f>
        <v>3600000</v>
      </c>
      <c r="H822" s="36">
        <f t="shared" si="47"/>
        <v>5660302</v>
      </c>
    </row>
    <row r="823" spans="1:8" s="39" customFormat="1" ht="15.75">
      <c r="A823" s="37" t="s">
        <v>574</v>
      </c>
      <c r="B823" s="60">
        <v>847</v>
      </c>
      <c r="C823" s="33" t="s">
        <v>559</v>
      </c>
      <c r="D823" s="34" t="s">
        <v>575</v>
      </c>
      <c r="E823" s="34"/>
      <c r="F823" s="42">
        <f aca="true" t="shared" si="48" ref="F823:G825">F824</f>
        <v>16295145.48</v>
      </c>
      <c r="G823" s="42">
        <f t="shared" si="48"/>
        <v>-1533300.48</v>
      </c>
      <c r="H823" s="36">
        <f t="shared" si="47"/>
        <v>14761845</v>
      </c>
    </row>
    <row r="824" spans="1:8" s="39" customFormat="1" ht="31.5">
      <c r="A824" s="37" t="s">
        <v>576</v>
      </c>
      <c r="B824" s="60">
        <v>847</v>
      </c>
      <c r="C824" s="33" t="s">
        <v>559</v>
      </c>
      <c r="D824" s="34" t="s">
        <v>577</v>
      </c>
      <c r="E824" s="34"/>
      <c r="F824" s="42">
        <f t="shared" si="48"/>
        <v>16295145.48</v>
      </c>
      <c r="G824" s="42">
        <f t="shared" si="48"/>
        <v>-1533300.48</v>
      </c>
      <c r="H824" s="36">
        <f t="shared" si="47"/>
        <v>14761845</v>
      </c>
    </row>
    <row r="825" spans="1:8" s="16" customFormat="1" ht="15.75">
      <c r="A825" s="37" t="s">
        <v>223</v>
      </c>
      <c r="B825" s="60">
        <v>847</v>
      </c>
      <c r="C825" s="33" t="s">
        <v>559</v>
      </c>
      <c r="D825" s="34" t="s">
        <v>577</v>
      </c>
      <c r="E825" s="34">
        <v>300</v>
      </c>
      <c r="F825" s="42">
        <f t="shared" si="48"/>
        <v>16295145.48</v>
      </c>
      <c r="G825" s="42">
        <f t="shared" si="48"/>
        <v>-1533300.48</v>
      </c>
      <c r="H825" s="36">
        <f t="shared" si="47"/>
        <v>14761845</v>
      </c>
    </row>
    <row r="826" spans="1:8" s="16" customFormat="1" ht="31.5">
      <c r="A826" s="37" t="s">
        <v>514</v>
      </c>
      <c r="B826" s="60">
        <v>847</v>
      </c>
      <c r="C826" s="33" t="s">
        <v>559</v>
      </c>
      <c r="D826" s="34" t="s">
        <v>577</v>
      </c>
      <c r="E826" s="34">
        <v>320</v>
      </c>
      <c r="F826" s="42">
        <f>4000000+12295145.48</f>
        <v>16295145.48</v>
      </c>
      <c r="G826" s="42">
        <f>-780906.38-752394.1</f>
        <v>-1533300.48</v>
      </c>
      <c r="H826" s="36">
        <f t="shared" si="47"/>
        <v>14761845</v>
      </c>
    </row>
    <row r="827" spans="1:8" s="16" customFormat="1" ht="15.75">
      <c r="A827" s="37" t="s">
        <v>16</v>
      </c>
      <c r="B827" s="60">
        <v>847</v>
      </c>
      <c r="C827" s="33" t="s">
        <v>559</v>
      </c>
      <c r="D827" s="34" t="s">
        <v>17</v>
      </c>
      <c r="E827" s="34"/>
      <c r="F827" s="42">
        <f aca="true" t="shared" si="49" ref="F827:G830">F828</f>
        <v>0</v>
      </c>
      <c r="G827" s="42">
        <f t="shared" si="49"/>
        <v>172414</v>
      </c>
      <c r="H827" s="36">
        <f t="shared" si="47"/>
        <v>172414</v>
      </c>
    </row>
    <row r="828" spans="1:8" s="16" customFormat="1" ht="15.75">
      <c r="A828" s="37" t="s">
        <v>126</v>
      </c>
      <c r="B828" s="60">
        <v>847</v>
      </c>
      <c r="C828" s="33" t="s">
        <v>559</v>
      </c>
      <c r="D828" s="34" t="s">
        <v>127</v>
      </c>
      <c r="E828" s="34"/>
      <c r="F828" s="42">
        <f t="shared" si="49"/>
        <v>0</v>
      </c>
      <c r="G828" s="42">
        <f t="shared" si="49"/>
        <v>172414</v>
      </c>
      <c r="H828" s="36">
        <f t="shared" si="47"/>
        <v>172414</v>
      </c>
    </row>
    <row r="829" spans="1:8" s="16" customFormat="1" ht="31.5">
      <c r="A829" s="37" t="s">
        <v>578</v>
      </c>
      <c r="B829" s="60">
        <v>847</v>
      </c>
      <c r="C829" s="33" t="s">
        <v>559</v>
      </c>
      <c r="D829" s="34" t="s">
        <v>579</v>
      </c>
      <c r="E829" s="34"/>
      <c r="F829" s="42">
        <f t="shared" si="49"/>
        <v>0</v>
      </c>
      <c r="G829" s="42">
        <f t="shared" si="49"/>
        <v>172414</v>
      </c>
      <c r="H829" s="36">
        <f t="shared" si="47"/>
        <v>172414</v>
      </c>
    </row>
    <row r="830" spans="1:8" s="16" customFormat="1" ht="18.75" customHeight="1">
      <c r="A830" s="37" t="s">
        <v>223</v>
      </c>
      <c r="B830" s="60">
        <v>847</v>
      </c>
      <c r="C830" s="33" t="s">
        <v>559</v>
      </c>
      <c r="D830" s="34" t="s">
        <v>579</v>
      </c>
      <c r="E830" s="34">
        <v>300</v>
      </c>
      <c r="F830" s="42">
        <f t="shared" si="49"/>
        <v>0</v>
      </c>
      <c r="G830" s="42">
        <f t="shared" si="49"/>
        <v>172414</v>
      </c>
      <c r="H830" s="36">
        <f t="shared" si="47"/>
        <v>172414</v>
      </c>
    </row>
    <row r="831" spans="1:8" s="16" customFormat="1" ht="21" customHeight="1">
      <c r="A831" s="37" t="s">
        <v>224</v>
      </c>
      <c r="B831" s="60">
        <v>847</v>
      </c>
      <c r="C831" s="33" t="s">
        <v>559</v>
      </c>
      <c r="D831" s="34" t="s">
        <v>579</v>
      </c>
      <c r="E831" s="34">
        <v>360</v>
      </c>
      <c r="F831" s="42">
        <v>0</v>
      </c>
      <c r="G831" s="42">
        <v>172414</v>
      </c>
      <c r="H831" s="36">
        <f t="shared" si="47"/>
        <v>172414</v>
      </c>
    </row>
    <row r="832" spans="1:8" s="16" customFormat="1" ht="15.75">
      <c r="A832" s="26" t="s">
        <v>361</v>
      </c>
      <c r="B832" s="27" t="s">
        <v>505</v>
      </c>
      <c r="C832" s="28" t="s">
        <v>362</v>
      </c>
      <c r="D832" s="34"/>
      <c r="E832" s="34"/>
      <c r="F832" s="45">
        <f>SUM(F852,F833,F846,F885)</f>
        <v>83049834</v>
      </c>
      <c r="G832" s="45">
        <f>SUM(G852,G833,G846,G885)</f>
        <v>6588442.1</v>
      </c>
      <c r="H832" s="30">
        <f t="shared" si="47"/>
        <v>89638276.1</v>
      </c>
    </row>
    <row r="833" spans="1:8" s="39" customFormat="1" ht="31.5">
      <c r="A833" s="37" t="s">
        <v>335</v>
      </c>
      <c r="B833" s="60">
        <v>847</v>
      </c>
      <c r="C833" s="33" t="s">
        <v>362</v>
      </c>
      <c r="D833" s="34" t="s">
        <v>336</v>
      </c>
      <c r="E833" s="34"/>
      <c r="F833" s="38">
        <f>SUM(F834,F840)</f>
        <v>6400000</v>
      </c>
      <c r="G833" s="38">
        <f>SUM(G834,G840)</f>
        <v>-1564000</v>
      </c>
      <c r="H833" s="36">
        <f t="shared" si="47"/>
        <v>4836000</v>
      </c>
    </row>
    <row r="834" spans="1:8" s="39" customFormat="1" ht="31.5">
      <c r="A834" s="51" t="s">
        <v>580</v>
      </c>
      <c r="B834" s="60">
        <v>847</v>
      </c>
      <c r="C834" s="33" t="s">
        <v>362</v>
      </c>
      <c r="D834" s="34" t="s">
        <v>581</v>
      </c>
      <c r="E834" s="34"/>
      <c r="F834" s="38">
        <f>F835</f>
        <v>2000000</v>
      </c>
      <c r="G834" s="38">
        <f>G835</f>
        <v>-1094000</v>
      </c>
      <c r="H834" s="36">
        <f t="shared" si="47"/>
        <v>906000</v>
      </c>
    </row>
    <row r="835" spans="1:8" s="16" customFormat="1" ht="31.5">
      <c r="A835" s="51" t="s">
        <v>582</v>
      </c>
      <c r="B835" s="60">
        <v>847</v>
      </c>
      <c r="C835" s="33" t="s">
        <v>362</v>
      </c>
      <c r="D835" s="34" t="s">
        <v>583</v>
      </c>
      <c r="E835" s="34"/>
      <c r="F835" s="38">
        <f>F838+F836</f>
        <v>2000000</v>
      </c>
      <c r="G835" s="38">
        <f>G838+G836</f>
        <v>-1094000</v>
      </c>
      <c r="H835" s="36">
        <f t="shared" si="47"/>
        <v>906000</v>
      </c>
    </row>
    <row r="836" spans="1:8" s="16" customFormat="1" ht="31.5">
      <c r="A836" s="41" t="s">
        <v>28</v>
      </c>
      <c r="B836" s="60">
        <v>847</v>
      </c>
      <c r="C836" s="33" t="s">
        <v>362</v>
      </c>
      <c r="D836" s="34" t="s">
        <v>583</v>
      </c>
      <c r="E836" s="34">
        <v>200</v>
      </c>
      <c r="F836" s="38">
        <f>F837</f>
        <v>20000</v>
      </c>
      <c r="G836" s="38">
        <f>G837</f>
        <v>0</v>
      </c>
      <c r="H836" s="36">
        <f t="shared" si="47"/>
        <v>20000</v>
      </c>
    </row>
    <row r="837" spans="1:8" s="16" customFormat="1" ht="31.5">
      <c r="A837" s="41" t="s">
        <v>30</v>
      </c>
      <c r="B837" s="60">
        <v>847</v>
      </c>
      <c r="C837" s="33" t="s">
        <v>362</v>
      </c>
      <c r="D837" s="34" t="s">
        <v>583</v>
      </c>
      <c r="E837" s="34">
        <v>240</v>
      </c>
      <c r="F837" s="38">
        <v>20000</v>
      </c>
      <c r="G837" s="38">
        <v>0</v>
      </c>
      <c r="H837" s="36">
        <f t="shared" si="47"/>
        <v>20000</v>
      </c>
    </row>
    <row r="838" spans="1:8" s="16" customFormat="1" ht="15.75">
      <c r="A838" s="37" t="s">
        <v>223</v>
      </c>
      <c r="B838" s="60">
        <v>847</v>
      </c>
      <c r="C838" s="33" t="s">
        <v>362</v>
      </c>
      <c r="D838" s="34" t="s">
        <v>583</v>
      </c>
      <c r="E838" s="34">
        <v>300</v>
      </c>
      <c r="F838" s="38">
        <f>F839</f>
        <v>1980000</v>
      </c>
      <c r="G838" s="38">
        <f>G839</f>
        <v>-1094000</v>
      </c>
      <c r="H838" s="36">
        <f t="shared" si="47"/>
        <v>886000</v>
      </c>
    </row>
    <row r="839" spans="1:8" s="16" customFormat="1" ht="31.5">
      <c r="A839" s="37" t="s">
        <v>514</v>
      </c>
      <c r="B839" s="60">
        <v>847</v>
      </c>
      <c r="C839" s="33" t="s">
        <v>362</v>
      </c>
      <c r="D839" s="34" t="s">
        <v>583</v>
      </c>
      <c r="E839" s="34">
        <v>320</v>
      </c>
      <c r="F839" s="38">
        <v>1980000</v>
      </c>
      <c r="G839" s="38">
        <f>-880000-214000</f>
        <v>-1094000</v>
      </c>
      <c r="H839" s="36">
        <f t="shared" si="47"/>
        <v>886000</v>
      </c>
    </row>
    <row r="840" spans="1:8" s="16" customFormat="1" ht="31.5">
      <c r="A840" s="51" t="s">
        <v>337</v>
      </c>
      <c r="B840" s="60">
        <v>847</v>
      </c>
      <c r="C840" s="33" t="s">
        <v>362</v>
      </c>
      <c r="D840" s="34" t="s">
        <v>338</v>
      </c>
      <c r="E840" s="34"/>
      <c r="F840" s="38">
        <f>F841</f>
        <v>4400000</v>
      </c>
      <c r="G840" s="38">
        <f>G841</f>
        <v>-470000</v>
      </c>
      <c r="H840" s="36">
        <f t="shared" si="47"/>
        <v>3930000</v>
      </c>
    </row>
    <row r="841" spans="1:8" s="16" customFormat="1" ht="31.5">
      <c r="A841" s="51" t="s">
        <v>584</v>
      </c>
      <c r="B841" s="60">
        <v>847</v>
      </c>
      <c r="C841" s="33" t="s">
        <v>362</v>
      </c>
      <c r="D841" s="34" t="s">
        <v>585</v>
      </c>
      <c r="E841" s="34"/>
      <c r="F841" s="38">
        <f>F844+F842</f>
        <v>4400000</v>
      </c>
      <c r="G841" s="38">
        <f>G844+G842</f>
        <v>-470000</v>
      </c>
      <c r="H841" s="36">
        <f t="shared" si="47"/>
        <v>3930000</v>
      </c>
    </row>
    <row r="842" spans="1:8" s="16" customFormat="1" ht="31.5">
      <c r="A842" s="41" t="s">
        <v>28</v>
      </c>
      <c r="B842" s="60">
        <v>847</v>
      </c>
      <c r="C842" s="33" t="s">
        <v>362</v>
      </c>
      <c r="D842" s="34" t="s">
        <v>585</v>
      </c>
      <c r="E842" s="34">
        <v>200</v>
      </c>
      <c r="F842" s="38">
        <f>F843</f>
        <v>43565</v>
      </c>
      <c r="G842" s="38">
        <f>G843</f>
        <v>0</v>
      </c>
      <c r="H842" s="36">
        <f t="shared" si="47"/>
        <v>43565</v>
      </c>
    </row>
    <row r="843" spans="1:8" s="16" customFormat="1" ht="31.5">
      <c r="A843" s="41" t="s">
        <v>30</v>
      </c>
      <c r="B843" s="60">
        <v>847</v>
      </c>
      <c r="C843" s="33" t="s">
        <v>362</v>
      </c>
      <c r="D843" s="34" t="s">
        <v>585</v>
      </c>
      <c r="E843" s="34">
        <v>240</v>
      </c>
      <c r="F843" s="38">
        <v>43565</v>
      </c>
      <c r="G843" s="38">
        <v>0</v>
      </c>
      <c r="H843" s="36">
        <f t="shared" si="47"/>
        <v>43565</v>
      </c>
    </row>
    <row r="844" spans="1:8" s="16" customFormat="1" ht="15.75">
      <c r="A844" s="37" t="s">
        <v>223</v>
      </c>
      <c r="B844" s="60">
        <v>847</v>
      </c>
      <c r="C844" s="33" t="s">
        <v>362</v>
      </c>
      <c r="D844" s="34" t="s">
        <v>585</v>
      </c>
      <c r="E844" s="34">
        <v>300</v>
      </c>
      <c r="F844" s="38">
        <f>F845</f>
        <v>4356435</v>
      </c>
      <c r="G844" s="38">
        <f>G845</f>
        <v>-470000</v>
      </c>
      <c r="H844" s="36">
        <f t="shared" si="47"/>
        <v>3886435</v>
      </c>
    </row>
    <row r="845" spans="1:8" s="16" customFormat="1" ht="31.5">
      <c r="A845" s="37" t="s">
        <v>514</v>
      </c>
      <c r="B845" s="60">
        <v>847</v>
      </c>
      <c r="C845" s="33" t="s">
        <v>362</v>
      </c>
      <c r="D845" s="34" t="s">
        <v>585</v>
      </c>
      <c r="E845" s="34">
        <v>320</v>
      </c>
      <c r="F845" s="38">
        <v>4356435</v>
      </c>
      <c r="G845" s="38">
        <v>-470000</v>
      </c>
      <c r="H845" s="36">
        <f t="shared" si="47"/>
        <v>3886435</v>
      </c>
    </row>
    <row r="846" spans="1:8" s="16" customFormat="1" ht="31.5">
      <c r="A846" s="37" t="s">
        <v>586</v>
      </c>
      <c r="B846" s="60">
        <v>847</v>
      </c>
      <c r="C846" s="33" t="s">
        <v>362</v>
      </c>
      <c r="D846" s="34" t="s">
        <v>372</v>
      </c>
      <c r="E846" s="34"/>
      <c r="F846" s="38">
        <f>F847</f>
        <v>290880</v>
      </c>
      <c r="G846" s="38">
        <f>G847</f>
        <v>-140000</v>
      </c>
      <c r="H846" s="36">
        <f t="shared" si="47"/>
        <v>150880</v>
      </c>
    </row>
    <row r="847" spans="1:8" s="16" customFormat="1" ht="47.25">
      <c r="A847" s="37" t="s">
        <v>587</v>
      </c>
      <c r="B847" s="60">
        <v>847</v>
      </c>
      <c r="C847" s="33" t="s">
        <v>362</v>
      </c>
      <c r="D847" s="34" t="s">
        <v>588</v>
      </c>
      <c r="E847" s="34"/>
      <c r="F847" s="38">
        <f>F848+F850</f>
        <v>290880</v>
      </c>
      <c r="G847" s="38">
        <f>G848+G850</f>
        <v>-140000</v>
      </c>
      <c r="H847" s="36">
        <f t="shared" si="47"/>
        <v>150880</v>
      </c>
    </row>
    <row r="848" spans="1:8" s="16" customFormat="1" ht="31.5">
      <c r="A848" s="41" t="s">
        <v>28</v>
      </c>
      <c r="B848" s="60">
        <v>847</v>
      </c>
      <c r="C848" s="33" t="s">
        <v>362</v>
      </c>
      <c r="D848" s="34" t="s">
        <v>588</v>
      </c>
      <c r="E848" s="34">
        <v>200</v>
      </c>
      <c r="F848" s="38">
        <f>F849</f>
        <v>2880</v>
      </c>
      <c r="G848" s="38">
        <f>G849</f>
        <v>0</v>
      </c>
      <c r="H848" s="36">
        <f t="shared" si="47"/>
        <v>2880</v>
      </c>
    </row>
    <row r="849" spans="1:8" s="16" customFormat="1" ht="31.5">
      <c r="A849" s="41" t="s">
        <v>30</v>
      </c>
      <c r="B849" s="60">
        <v>847</v>
      </c>
      <c r="C849" s="33" t="s">
        <v>362</v>
      </c>
      <c r="D849" s="34" t="s">
        <v>588</v>
      </c>
      <c r="E849" s="34">
        <v>240</v>
      </c>
      <c r="F849" s="38">
        <v>2880</v>
      </c>
      <c r="G849" s="38">
        <v>0</v>
      </c>
      <c r="H849" s="36">
        <f t="shared" si="47"/>
        <v>2880</v>
      </c>
    </row>
    <row r="850" spans="1:8" s="16" customFormat="1" ht="15.75">
      <c r="A850" s="37" t="s">
        <v>223</v>
      </c>
      <c r="B850" s="60">
        <v>847</v>
      </c>
      <c r="C850" s="33" t="s">
        <v>362</v>
      </c>
      <c r="D850" s="34" t="s">
        <v>588</v>
      </c>
      <c r="E850" s="34">
        <v>300</v>
      </c>
      <c r="F850" s="38">
        <f>F851</f>
        <v>288000</v>
      </c>
      <c r="G850" s="38">
        <f>G851</f>
        <v>-140000</v>
      </c>
      <c r="H850" s="36">
        <f t="shared" si="47"/>
        <v>148000</v>
      </c>
    </row>
    <row r="851" spans="1:8" s="16" customFormat="1" ht="31.5">
      <c r="A851" s="37" t="s">
        <v>514</v>
      </c>
      <c r="B851" s="60">
        <v>847</v>
      </c>
      <c r="C851" s="33" t="s">
        <v>362</v>
      </c>
      <c r="D851" s="34" t="s">
        <v>588</v>
      </c>
      <c r="E851" s="34">
        <v>320</v>
      </c>
      <c r="F851" s="38">
        <v>288000</v>
      </c>
      <c r="G851" s="38">
        <v>-140000</v>
      </c>
      <c r="H851" s="36">
        <f t="shared" si="47"/>
        <v>148000</v>
      </c>
    </row>
    <row r="852" spans="1:8" s="16" customFormat="1" ht="31.5">
      <c r="A852" s="37" t="s">
        <v>243</v>
      </c>
      <c r="B852" s="60">
        <v>847</v>
      </c>
      <c r="C852" s="33" t="s">
        <v>362</v>
      </c>
      <c r="D852" s="34" t="s">
        <v>244</v>
      </c>
      <c r="E852" s="34"/>
      <c r="F852" s="38">
        <f>SUM(F853,F872)</f>
        <v>73358954</v>
      </c>
      <c r="G852" s="38">
        <f>SUM(G853,G872)</f>
        <v>9546872.1</v>
      </c>
      <c r="H852" s="36">
        <f t="shared" si="47"/>
        <v>82905826.1</v>
      </c>
    </row>
    <row r="853" spans="1:8" s="16" customFormat="1" ht="47.25">
      <c r="A853" s="37" t="s">
        <v>363</v>
      </c>
      <c r="B853" s="60">
        <v>847</v>
      </c>
      <c r="C853" s="33" t="s">
        <v>362</v>
      </c>
      <c r="D853" s="34" t="s">
        <v>364</v>
      </c>
      <c r="E853" s="34"/>
      <c r="F853" s="38">
        <f>SUM(F854,F859,F867,F864)</f>
        <v>38552442</v>
      </c>
      <c r="G853" s="38">
        <f>SUM(G854,G859,G867,G864)</f>
        <v>5162557</v>
      </c>
      <c r="H853" s="36">
        <f t="shared" si="47"/>
        <v>43714999</v>
      </c>
    </row>
    <row r="854" spans="1:8" s="16" customFormat="1" ht="47.25">
      <c r="A854" s="37" t="s">
        <v>589</v>
      </c>
      <c r="B854" s="60">
        <v>847</v>
      </c>
      <c r="C854" s="33" t="s">
        <v>362</v>
      </c>
      <c r="D854" s="34" t="s">
        <v>590</v>
      </c>
      <c r="E854" s="34"/>
      <c r="F854" s="42">
        <f>F857+F855</f>
        <v>529773</v>
      </c>
      <c r="G854" s="42">
        <f>G857+G855</f>
        <v>300000</v>
      </c>
      <c r="H854" s="36">
        <f t="shared" si="47"/>
        <v>829773</v>
      </c>
    </row>
    <row r="855" spans="1:14" s="16" customFormat="1" ht="31.5">
      <c r="A855" s="41" t="s">
        <v>28</v>
      </c>
      <c r="B855" s="60">
        <v>847</v>
      </c>
      <c r="C855" s="33" t="s">
        <v>362</v>
      </c>
      <c r="D855" s="34" t="s">
        <v>590</v>
      </c>
      <c r="E855" s="34">
        <v>200</v>
      </c>
      <c r="F855" s="42">
        <f>F856</f>
        <v>5245</v>
      </c>
      <c r="G855" s="42">
        <f>G856</f>
        <v>2781</v>
      </c>
      <c r="H855" s="36">
        <f t="shared" si="47"/>
        <v>8026</v>
      </c>
      <c r="N855" s="77"/>
    </row>
    <row r="856" spans="1:8" s="16" customFormat="1" ht="31.5">
      <c r="A856" s="37" t="s">
        <v>30</v>
      </c>
      <c r="B856" s="60">
        <v>847</v>
      </c>
      <c r="C856" s="33" t="s">
        <v>362</v>
      </c>
      <c r="D856" s="34" t="s">
        <v>590</v>
      </c>
      <c r="E856" s="34">
        <v>240</v>
      </c>
      <c r="F856" s="42">
        <v>5245</v>
      </c>
      <c r="G856" s="42">
        <v>2781</v>
      </c>
      <c r="H856" s="36">
        <f t="shared" si="47"/>
        <v>8026</v>
      </c>
    </row>
    <row r="857" spans="1:8" s="16" customFormat="1" ht="15.75">
      <c r="A857" s="37" t="s">
        <v>223</v>
      </c>
      <c r="B857" s="60">
        <v>847</v>
      </c>
      <c r="C857" s="33" t="s">
        <v>362</v>
      </c>
      <c r="D857" s="34" t="s">
        <v>590</v>
      </c>
      <c r="E857" s="34">
        <v>300</v>
      </c>
      <c r="F857" s="42">
        <f>F858</f>
        <v>524528</v>
      </c>
      <c r="G857" s="42">
        <f>G858</f>
        <v>297219</v>
      </c>
      <c r="H857" s="36">
        <f t="shared" si="47"/>
        <v>821747</v>
      </c>
    </row>
    <row r="858" spans="1:8" s="16" customFormat="1" ht="31.5">
      <c r="A858" s="37" t="s">
        <v>519</v>
      </c>
      <c r="B858" s="60">
        <v>847</v>
      </c>
      <c r="C858" s="33" t="s">
        <v>362</v>
      </c>
      <c r="D858" s="34" t="s">
        <v>590</v>
      </c>
      <c r="E858" s="34">
        <v>310</v>
      </c>
      <c r="F858" s="42">
        <v>524528</v>
      </c>
      <c r="G858" s="42">
        <v>297219</v>
      </c>
      <c r="H858" s="36">
        <f t="shared" si="47"/>
        <v>821747</v>
      </c>
    </row>
    <row r="859" spans="1:8" s="39" customFormat="1" ht="47.25">
      <c r="A859" s="37" t="s">
        <v>591</v>
      </c>
      <c r="B859" s="60">
        <v>847</v>
      </c>
      <c r="C859" s="33" t="s">
        <v>362</v>
      </c>
      <c r="D859" s="34" t="s">
        <v>592</v>
      </c>
      <c r="E859" s="34"/>
      <c r="F859" s="42">
        <f>F862+F860</f>
        <v>3000000</v>
      </c>
      <c r="G859" s="42">
        <f>G862+G860</f>
        <v>0</v>
      </c>
      <c r="H859" s="36">
        <f aca="true" t="shared" si="50" ref="H859:H922">SUM(F859:G859)</f>
        <v>3000000</v>
      </c>
    </row>
    <row r="860" spans="1:8" s="39" customFormat="1" ht="31.5">
      <c r="A860" s="41" t="s">
        <v>28</v>
      </c>
      <c r="B860" s="60">
        <v>847</v>
      </c>
      <c r="C860" s="33" t="s">
        <v>362</v>
      </c>
      <c r="D860" s="34" t="s">
        <v>592</v>
      </c>
      <c r="E860" s="34">
        <v>200</v>
      </c>
      <c r="F860" s="38">
        <f>F861</f>
        <v>29703</v>
      </c>
      <c r="G860" s="38">
        <f>G861</f>
        <v>0</v>
      </c>
      <c r="H860" s="36">
        <f t="shared" si="50"/>
        <v>29703</v>
      </c>
    </row>
    <row r="861" spans="1:8" s="39" customFormat="1" ht="31.5">
      <c r="A861" s="37" t="s">
        <v>30</v>
      </c>
      <c r="B861" s="60">
        <v>847</v>
      </c>
      <c r="C861" s="33" t="s">
        <v>362</v>
      </c>
      <c r="D861" s="34" t="s">
        <v>592</v>
      </c>
      <c r="E861" s="34">
        <v>240</v>
      </c>
      <c r="F861" s="38">
        <v>29703</v>
      </c>
      <c r="G861" s="38">
        <v>0</v>
      </c>
      <c r="H861" s="36">
        <f t="shared" si="50"/>
        <v>29703</v>
      </c>
    </row>
    <row r="862" spans="1:8" s="16" customFormat="1" ht="15.75">
      <c r="A862" s="37" t="s">
        <v>223</v>
      </c>
      <c r="B862" s="60">
        <v>847</v>
      </c>
      <c r="C862" s="33" t="s">
        <v>362</v>
      </c>
      <c r="D862" s="34" t="s">
        <v>592</v>
      </c>
      <c r="E862" s="34">
        <v>300</v>
      </c>
      <c r="F862" s="38">
        <f>F863</f>
        <v>2970297</v>
      </c>
      <c r="G862" s="38">
        <f>G863</f>
        <v>0</v>
      </c>
      <c r="H862" s="36">
        <f t="shared" si="50"/>
        <v>2970297</v>
      </c>
    </row>
    <row r="863" spans="1:8" s="16" customFormat="1" ht="31.5">
      <c r="A863" s="37" t="s">
        <v>519</v>
      </c>
      <c r="B863" s="60">
        <v>847</v>
      </c>
      <c r="C863" s="33" t="s">
        <v>362</v>
      </c>
      <c r="D863" s="34" t="s">
        <v>592</v>
      </c>
      <c r="E863" s="34">
        <v>310</v>
      </c>
      <c r="F863" s="38">
        <v>2970297</v>
      </c>
      <c r="G863" s="38">
        <v>0</v>
      </c>
      <c r="H863" s="36">
        <f t="shared" si="50"/>
        <v>2970297</v>
      </c>
    </row>
    <row r="864" spans="1:8" s="16" customFormat="1" ht="63">
      <c r="A864" s="37" t="s">
        <v>593</v>
      </c>
      <c r="B864" s="60">
        <v>847</v>
      </c>
      <c r="C864" s="33" t="s">
        <v>362</v>
      </c>
      <c r="D864" s="34" t="s">
        <v>594</v>
      </c>
      <c r="E864" s="34"/>
      <c r="F864" s="42">
        <f>F865</f>
        <v>1500000</v>
      </c>
      <c r="G864" s="42">
        <f>G865</f>
        <v>-1000000</v>
      </c>
      <c r="H864" s="36">
        <f t="shared" si="50"/>
        <v>500000</v>
      </c>
    </row>
    <row r="865" spans="1:8" s="16" customFormat="1" ht="15.75">
      <c r="A865" s="37" t="s">
        <v>223</v>
      </c>
      <c r="B865" s="60">
        <v>847</v>
      </c>
      <c r="C865" s="33" t="s">
        <v>362</v>
      </c>
      <c r="D865" s="34" t="s">
        <v>594</v>
      </c>
      <c r="E865" s="34">
        <v>300</v>
      </c>
      <c r="F865" s="42">
        <f>F866</f>
        <v>1500000</v>
      </c>
      <c r="G865" s="42">
        <f>G866</f>
        <v>-1000000</v>
      </c>
      <c r="H865" s="36">
        <f t="shared" si="50"/>
        <v>500000</v>
      </c>
    </row>
    <row r="866" spans="1:8" s="16" customFormat="1" ht="31.5">
      <c r="A866" s="37" t="s">
        <v>514</v>
      </c>
      <c r="B866" s="60">
        <v>847</v>
      </c>
      <c r="C866" s="33" t="s">
        <v>362</v>
      </c>
      <c r="D866" s="34" t="s">
        <v>594</v>
      </c>
      <c r="E866" s="34">
        <v>320</v>
      </c>
      <c r="F866" s="42">
        <f>1000000+500000</f>
        <v>1500000</v>
      </c>
      <c r="G866" s="42">
        <f>-1000000</f>
        <v>-1000000</v>
      </c>
      <c r="H866" s="36">
        <f t="shared" si="50"/>
        <v>500000</v>
      </c>
    </row>
    <row r="867" spans="1:8" s="16" customFormat="1" ht="47.25">
      <c r="A867" s="37" t="s">
        <v>595</v>
      </c>
      <c r="B867" s="60">
        <v>847</v>
      </c>
      <c r="C867" s="33" t="s">
        <v>362</v>
      </c>
      <c r="D867" s="34" t="s">
        <v>596</v>
      </c>
      <c r="E867" s="34"/>
      <c r="F867" s="42">
        <f>F870+F868</f>
        <v>33522669</v>
      </c>
      <c r="G867" s="42">
        <f>G870+G868</f>
        <v>5862557</v>
      </c>
      <c r="H867" s="36">
        <f t="shared" si="50"/>
        <v>39385226</v>
      </c>
    </row>
    <row r="868" spans="1:8" s="16" customFormat="1" ht="31.5">
      <c r="A868" s="41" t="s">
        <v>28</v>
      </c>
      <c r="B868" s="60">
        <v>847</v>
      </c>
      <c r="C868" s="33" t="s">
        <v>362</v>
      </c>
      <c r="D868" s="34" t="s">
        <v>596</v>
      </c>
      <c r="E868" s="34">
        <v>200</v>
      </c>
      <c r="F868" s="42">
        <f>F869</f>
        <v>331908</v>
      </c>
      <c r="G868" s="42">
        <f>G869</f>
        <v>-331908</v>
      </c>
      <c r="H868" s="36">
        <f t="shared" si="50"/>
        <v>0</v>
      </c>
    </row>
    <row r="869" spans="1:8" s="16" customFormat="1" ht="31.5">
      <c r="A869" s="37" t="s">
        <v>30</v>
      </c>
      <c r="B869" s="60">
        <v>847</v>
      </c>
      <c r="C869" s="33" t="s">
        <v>362</v>
      </c>
      <c r="D869" s="34" t="s">
        <v>596</v>
      </c>
      <c r="E869" s="34">
        <v>240</v>
      </c>
      <c r="F869" s="42">
        <v>331908</v>
      </c>
      <c r="G869" s="42">
        <v>-331908</v>
      </c>
      <c r="H869" s="36">
        <f t="shared" si="50"/>
        <v>0</v>
      </c>
    </row>
    <row r="870" spans="1:8" s="16" customFormat="1" ht="15.75">
      <c r="A870" s="37" t="s">
        <v>223</v>
      </c>
      <c r="B870" s="60">
        <v>847</v>
      </c>
      <c r="C870" s="33" t="s">
        <v>362</v>
      </c>
      <c r="D870" s="34" t="s">
        <v>596</v>
      </c>
      <c r="E870" s="34">
        <v>300</v>
      </c>
      <c r="F870" s="42">
        <f>F871</f>
        <v>33190761</v>
      </c>
      <c r="G870" s="42">
        <f>G871</f>
        <v>6194465</v>
      </c>
      <c r="H870" s="36">
        <f t="shared" si="50"/>
        <v>39385226</v>
      </c>
    </row>
    <row r="871" spans="1:8" s="16" customFormat="1" ht="31.5">
      <c r="A871" s="37" t="s">
        <v>519</v>
      </c>
      <c r="B871" s="60">
        <v>847</v>
      </c>
      <c r="C871" s="33" t="s">
        <v>362</v>
      </c>
      <c r="D871" s="34" t="s">
        <v>596</v>
      </c>
      <c r="E871" s="34">
        <v>310</v>
      </c>
      <c r="F871" s="42">
        <v>33190761</v>
      </c>
      <c r="G871" s="42">
        <f>331908+5862557</f>
        <v>6194465</v>
      </c>
      <c r="H871" s="36">
        <f t="shared" si="50"/>
        <v>39385226</v>
      </c>
    </row>
    <row r="872" spans="1:8" s="16" customFormat="1" ht="47.25">
      <c r="A872" s="37" t="s">
        <v>597</v>
      </c>
      <c r="B872" s="60">
        <v>847</v>
      </c>
      <c r="C872" s="33" t="s">
        <v>362</v>
      </c>
      <c r="D872" s="34" t="s">
        <v>598</v>
      </c>
      <c r="E872" s="34"/>
      <c r="F872" s="42">
        <f>SUM(F873,F880)</f>
        <v>34806512</v>
      </c>
      <c r="G872" s="42">
        <f>SUM(G873,G880)</f>
        <v>4384315.1</v>
      </c>
      <c r="H872" s="36">
        <f t="shared" si="50"/>
        <v>39190827.1</v>
      </c>
    </row>
    <row r="873" spans="1:8" s="16" customFormat="1" ht="31.5">
      <c r="A873" s="37" t="s">
        <v>599</v>
      </c>
      <c r="B873" s="60">
        <v>847</v>
      </c>
      <c r="C873" s="33" t="s">
        <v>362</v>
      </c>
      <c r="D873" s="34" t="s">
        <v>600</v>
      </c>
      <c r="E873" s="34"/>
      <c r="F873" s="42">
        <f>F874+F876+F878</f>
        <v>21506512</v>
      </c>
      <c r="G873" s="42">
        <f>G874+G876+G878</f>
        <v>1131921</v>
      </c>
      <c r="H873" s="36">
        <f t="shared" si="50"/>
        <v>22638433</v>
      </c>
    </row>
    <row r="874" spans="1:8" s="16" customFormat="1" ht="78.75">
      <c r="A874" s="40" t="s">
        <v>22</v>
      </c>
      <c r="B874" s="60">
        <v>847</v>
      </c>
      <c r="C874" s="33" t="s">
        <v>362</v>
      </c>
      <c r="D874" s="34" t="s">
        <v>600</v>
      </c>
      <c r="E874" s="33" t="s">
        <v>23</v>
      </c>
      <c r="F874" s="42">
        <f>F875</f>
        <v>19382524</v>
      </c>
      <c r="G874" s="42">
        <f>G875</f>
        <v>179288</v>
      </c>
      <c r="H874" s="36">
        <f t="shared" si="50"/>
        <v>19561812</v>
      </c>
    </row>
    <row r="875" spans="1:8" s="16" customFormat="1" ht="31.5">
      <c r="A875" s="40" t="s">
        <v>24</v>
      </c>
      <c r="B875" s="60">
        <v>847</v>
      </c>
      <c r="C875" s="33" t="s">
        <v>362</v>
      </c>
      <c r="D875" s="34" t="s">
        <v>600</v>
      </c>
      <c r="E875" s="33" t="s">
        <v>25</v>
      </c>
      <c r="F875" s="42">
        <v>19382524</v>
      </c>
      <c r="G875" s="42">
        <v>179288</v>
      </c>
      <c r="H875" s="36">
        <f t="shared" si="50"/>
        <v>19561812</v>
      </c>
    </row>
    <row r="876" spans="1:8" s="16" customFormat="1" ht="31.5">
      <c r="A876" s="41" t="s">
        <v>28</v>
      </c>
      <c r="B876" s="60">
        <v>847</v>
      </c>
      <c r="C876" s="33" t="s">
        <v>362</v>
      </c>
      <c r="D876" s="34" t="s">
        <v>600</v>
      </c>
      <c r="E876" s="33" t="s">
        <v>29</v>
      </c>
      <c r="F876" s="42">
        <f>F877</f>
        <v>2121988</v>
      </c>
      <c r="G876" s="42">
        <f>G877</f>
        <v>950133</v>
      </c>
      <c r="H876" s="36">
        <f t="shared" si="50"/>
        <v>3072121</v>
      </c>
    </row>
    <row r="877" spans="1:8" s="16" customFormat="1" ht="31.5">
      <c r="A877" s="41" t="s">
        <v>30</v>
      </c>
      <c r="B877" s="60">
        <v>847</v>
      </c>
      <c r="C877" s="33" t="s">
        <v>362</v>
      </c>
      <c r="D877" s="34" t="s">
        <v>600</v>
      </c>
      <c r="E877" s="33" t="s">
        <v>31</v>
      </c>
      <c r="F877" s="42">
        <v>2121988</v>
      </c>
      <c r="G877" s="42">
        <f>952633-2500</f>
        <v>950133</v>
      </c>
      <c r="H877" s="36">
        <f t="shared" si="50"/>
        <v>3072121</v>
      </c>
    </row>
    <row r="878" spans="1:8" s="16" customFormat="1" ht="15.75">
      <c r="A878" s="41" t="s">
        <v>36</v>
      </c>
      <c r="B878" s="60">
        <v>847</v>
      </c>
      <c r="C878" s="33" t="s">
        <v>362</v>
      </c>
      <c r="D878" s="34" t="s">
        <v>600</v>
      </c>
      <c r="E878" s="33" t="s">
        <v>37</v>
      </c>
      <c r="F878" s="42">
        <f>F879</f>
        <v>2000</v>
      </c>
      <c r="G878" s="42">
        <f>G879</f>
        <v>2500</v>
      </c>
      <c r="H878" s="36">
        <f t="shared" si="50"/>
        <v>4500</v>
      </c>
    </row>
    <row r="879" spans="1:8" s="16" customFormat="1" ht="15.75">
      <c r="A879" s="41" t="s">
        <v>38</v>
      </c>
      <c r="B879" s="60">
        <v>847</v>
      </c>
      <c r="C879" s="33" t="s">
        <v>362</v>
      </c>
      <c r="D879" s="34" t="s">
        <v>600</v>
      </c>
      <c r="E879" s="33" t="s">
        <v>39</v>
      </c>
      <c r="F879" s="42">
        <v>2000</v>
      </c>
      <c r="G879" s="42">
        <v>2500</v>
      </c>
      <c r="H879" s="36">
        <f t="shared" si="50"/>
        <v>4500</v>
      </c>
    </row>
    <row r="880" spans="1:8" s="16" customFormat="1" ht="47.25">
      <c r="A880" s="37" t="s">
        <v>601</v>
      </c>
      <c r="B880" s="60">
        <v>847</v>
      </c>
      <c r="C880" s="33" t="s">
        <v>362</v>
      </c>
      <c r="D880" s="34" t="s">
        <v>602</v>
      </c>
      <c r="E880" s="34"/>
      <c r="F880" s="42">
        <f>F881+F883</f>
        <v>13300000</v>
      </c>
      <c r="G880" s="42">
        <f>G881+G883</f>
        <v>3252394.1</v>
      </c>
      <c r="H880" s="36">
        <f t="shared" si="50"/>
        <v>16552394.1</v>
      </c>
    </row>
    <row r="881" spans="1:8" s="16" customFormat="1" ht="78.75">
      <c r="A881" s="40" t="s">
        <v>22</v>
      </c>
      <c r="B881" s="60">
        <v>847</v>
      </c>
      <c r="C881" s="33" t="s">
        <v>362</v>
      </c>
      <c r="D881" s="34" t="s">
        <v>602</v>
      </c>
      <c r="E881" s="33" t="s">
        <v>23</v>
      </c>
      <c r="F881" s="42">
        <f>F882</f>
        <v>12000000</v>
      </c>
      <c r="G881" s="42">
        <f>G882</f>
        <v>3252394.1</v>
      </c>
      <c r="H881" s="36">
        <f t="shared" si="50"/>
        <v>15252394.1</v>
      </c>
    </row>
    <row r="882" spans="1:8" s="16" customFormat="1" ht="31.5">
      <c r="A882" s="40" t="s">
        <v>24</v>
      </c>
      <c r="B882" s="60">
        <v>847</v>
      </c>
      <c r="C882" s="33" t="s">
        <v>362</v>
      </c>
      <c r="D882" s="34" t="s">
        <v>602</v>
      </c>
      <c r="E882" s="33" t="s">
        <v>25</v>
      </c>
      <c r="F882" s="42">
        <v>12000000</v>
      </c>
      <c r="G882" s="42">
        <f>752394.1+1000000+1500000</f>
        <v>3252394.1</v>
      </c>
      <c r="H882" s="36">
        <f t="shared" si="50"/>
        <v>15252394.1</v>
      </c>
    </row>
    <row r="883" spans="1:8" s="16" customFormat="1" ht="31.5">
      <c r="A883" s="41" t="s">
        <v>28</v>
      </c>
      <c r="B883" s="60">
        <v>847</v>
      </c>
      <c r="C883" s="33" t="s">
        <v>362</v>
      </c>
      <c r="D883" s="34" t="s">
        <v>602</v>
      </c>
      <c r="E883" s="33" t="s">
        <v>29</v>
      </c>
      <c r="F883" s="42">
        <f>F884</f>
        <v>1300000</v>
      </c>
      <c r="G883" s="42">
        <f>G884</f>
        <v>0</v>
      </c>
      <c r="H883" s="36">
        <f t="shared" si="50"/>
        <v>1300000</v>
      </c>
    </row>
    <row r="884" spans="1:8" s="16" customFormat="1" ht="31.5">
      <c r="A884" s="41" t="s">
        <v>30</v>
      </c>
      <c r="B884" s="60">
        <v>847</v>
      </c>
      <c r="C884" s="33" t="s">
        <v>362</v>
      </c>
      <c r="D884" s="34" t="s">
        <v>602</v>
      </c>
      <c r="E884" s="33" t="s">
        <v>31</v>
      </c>
      <c r="F884" s="42">
        <v>1300000</v>
      </c>
      <c r="G884" s="42">
        <v>0</v>
      </c>
      <c r="H884" s="36">
        <f t="shared" si="50"/>
        <v>1300000</v>
      </c>
    </row>
    <row r="885" spans="1:8" s="16" customFormat="1" ht="15.75">
      <c r="A885" s="31" t="s">
        <v>16</v>
      </c>
      <c r="B885" s="60">
        <v>847</v>
      </c>
      <c r="C885" s="33" t="s">
        <v>362</v>
      </c>
      <c r="D885" s="34" t="s">
        <v>17</v>
      </c>
      <c r="E885" s="73"/>
      <c r="F885" s="42">
        <f>F890+F886</f>
        <v>3000000</v>
      </c>
      <c r="G885" s="42">
        <f>G890+G886</f>
        <v>-1254430</v>
      </c>
      <c r="H885" s="36">
        <f t="shared" si="50"/>
        <v>1745570</v>
      </c>
    </row>
    <row r="886" spans="1:8" s="16" customFormat="1" ht="32.25" customHeight="1">
      <c r="A886" s="37" t="s">
        <v>18</v>
      </c>
      <c r="B886" s="60">
        <v>847</v>
      </c>
      <c r="C886" s="33" t="s">
        <v>362</v>
      </c>
      <c r="D886" s="34" t="s">
        <v>19</v>
      </c>
      <c r="E886" s="73"/>
      <c r="F886" s="42">
        <f aca="true" t="shared" si="51" ref="F886:G888">F887</f>
        <v>0</v>
      </c>
      <c r="G886" s="42">
        <f t="shared" si="51"/>
        <v>45570</v>
      </c>
      <c r="H886" s="36">
        <f t="shared" si="50"/>
        <v>45570</v>
      </c>
    </row>
    <row r="887" spans="1:8" s="16" customFormat="1" ht="31.5">
      <c r="A887" s="31" t="s">
        <v>40</v>
      </c>
      <c r="B887" s="60">
        <v>847</v>
      </c>
      <c r="C887" s="33" t="s">
        <v>362</v>
      </c>
      <c r="D887" s="34" t="s">
        <v>41</v>
      </c>
      <c r="E887" s="73"/>
      <c r="F887" s="42">
        <f t="shared" si="51"/>
        <v>0</v>
      </c>
      <c r="G887" s="42">
        <f t="shared" si="51"/>
        <v>45570</v>
      </c>
      <c r="H887" s="36">
        <f t="shared" si="50"/>
        <v>45570</v>
      </c>
    </row>
    <row r="888" spans="1:8" s="16" customFormat="1" ht="78.75">
      <c r="A888" s="40" t="s">
        <v>22</v>
      </c>
      <c r="B888" s="60">
        <v>847</v>
      </c>
      <c r="C888" s="33" t="s">
        <v>362</v>
      </c>
      <c r="D888" s="34" t="s">
        <v>41</v>
      </c>
      <c r="E888" s="33" t="s">
        <v>23</v>
      </c>
      <c r="F888" s="42">
        <f t="shared" si="51"/>
        <v>0</v>
      </c>
      <c r="G888" s="42">
        <f t="shared" si="51"/>
        <v>45570</v>
      </c>
      <c r="H888" s="36">
        <f t="shared" si="50"/>
        <v>45570</v>
      </c>
    </row>
    <row r="889" spans="1:8" s="16" customFormat="1" ht="31.5">
      <c r="A889" s="40" t="s">
        <v>24</v>
      </c>
      <c r="B889" s="60">
        <v>847</v>
      </c>
      <c r="C889" s="33" t="s">
        <v>362</v>
      </c>
      <c r="D889" s="34" t="s">
        <v>41</v>
      </c>
      <c r="E889" s="33" t="s">
        <v>25</v>
      </c>
      <c r="F889" s="42">
        <v>0</v>
      </c>
      <c r="G889" s="42">
        <v>45570</v>
      </c>
      <c r="H889" s="36">
        <f t="shared" si="50"/>
        <v>45570</v>
      </c>
    </row>
    <row r="890" spans="1:8" s="16" customFormat="1" ht="15.75">
      <c r="A890" s="41" t="s">
        <v>126</v>
      </c>
      <c r="B890" s="60">
        <v>847</v>
      </c>
      <c r="C890" s="33" t="s">
        <v>362</v>
      </c>
      <c r="D890" s="34" t="s">
        <v>127</v>
      </c>
      <c r="E890" s="33"/>
      <c r="F890" s="42">
        <f>F891</f>
        <v>3000000</v>
      </c>
      <c r="G890" s="42">
        <f>G891</f>
        <v>-1300000</v>
      </c>
      <c r="H890" s="36">
        <f t="shared" si="50"/>
        <v>1700000</v>
      </c>
    </row>
    <row r="891" spans="1:8" s="16" customFormat="1" ht="47.25">
      <c r="A891" s="41" t="s">
        <v>603</v>
      </c>
      <c r="B891" s="60">
        <v>847</v>
      </c>
      <c r="C891" s="33" t="s">
        <v>362</v>
      </c>
      <c r="D891" s="34" t="s">
        <v>604</v>
      </c>
      <c r="E891" s="33"/>
      <c r="F891" s="42">
        <f>F892+F894</f>
        <v>3000000</v>
      </c>
      <c r="G891" s="42">
        <f>G892+G894</f>
        <v>-1300000</v>
      </c>
      <c r="H891" s="36">
        <f t="shared" si="50"/>
        <v>1700000</v>
      </c>
    </row>
    <row r="892" spans="1:8" s="16" customFormat="1" ht="31.5">
      <c r="A892" s="41" t="s">
        <v>28</v>
      </c>
      <c r="B892" s="60">
        <v>847</v>
      </c>
      <c r="C892" s="33" t="s">
        <v>362</v>
      </c>
      <c r="D892" s="34" t="s">
        <v>604</v>
      </c>
      <c r="E892" s="33" t="s">
        <v>29</v>
      </c>
      <c r="F892" s="42">
        <f>F893</f>
        <v>29703</v>
      </c>
      <c r="G892" s="42">
        <f>G893</f>
        <v>0</v>
      </c>
      <c r="H892" s="36">
        <f t="shared" si="50"/>
        <v>29703</v>
      </c>
    </row>
    <row r="893" spans="1:8" s="16" customFormat="1" ht="31.5">
      <c r="A893" s="41" t="s">
        <v>30</v>
      </c>
      <c r="B893" s="60">
        <v>847</v>
      </c>
      <c r="C893" s="33" t="s">
        <v>362</v>
      </c>
      <c r="D893" s="34" t="s">
        <v>604</v>
      </c>
      <c r="E893" s="33" t="s">
        <v>31</v>
      </c>
      <c r="F893" s="42">
        <v>29703</v>
      </c>
      <c r="G893" s="42">
        <v>0</v>
      </c>
      <c r="H893" s="36">
        <f t="shared" si="50"/>
        <v>29703</v>
      </c>
    </row>
    <row r="894" spans="1:8" s="16" customFormat="1" ht="15.75">
      <c r="A894" s="37" t="s">
        <v>223</v>
      </c>
      <c r="B894" s="60">
        <v>847</v>
      </c>
      <c r="C894" s="33" t="s">
        <v>362</v>
      </c>
      <c r="D894" s="34" t="s">
        <v>604</v>
      </c>
      <c r="E894" s="34">
        <v>300</v>
      </c>
      <c r="F894" s="42">
        <f>F895</f>
        <v>2970297</v>
      </c>
      <c r="G894" s="42">
        <f>G895</f>
        <v>-1300000</v>
      </c>
      <c r="H894" s="36">
        <f t="shared" si="50"/>
        <v>1670297</v>
      </c>
    </row>
    <row r="895" spans="1:8" s="16" customFormat="1" ht="31.5">
      <c r="A895" s="37" t="s">
        <v>514</v>
      </c>
      <c r="B895" s="60">
        <v>847</v>
      </c>
      <c r="C895" s="33" t="s">
        <v>362</v>
      </c>
      <c r="D895" s="34" t="s">
        <v>604</v>
      </c>
      <c r="E895" s="34">
        <v>320</v>
      </c>
      <c r="F895" s="42">
        <v>2970297</v>
      </c>
      <c r="G895" s="42">
        <v>-1300000</v>
      </c>
      <c r="H895" s="36">
        <f t="shared" si="50"/>
        <v>1670297</v>
      </c>
    </row>
    <row r="896" spans="1:8" s="16" customFormat="1" ht="33">
      <c r="A896" s="17" t="s">
        <v>605</v>
      </c>
      <c r="B896" s="18" t="s">
        <v>606</v>
      </c>
      <c r="C896" s="14"/>
      <c r="D896" s="50"/>
      <c r="E896" s="50"/>
      <c r="F896" s="67">
        <f>F897+F1025</f>
        <v>2071464397.49</v>
      </c>
      <c r="G896" s="67">
        <f>G897+G1025</f>
        <v>77323459.11000001</v>
      </c>
      <c r="H896" s="21">
        <f t="shared" si="50"/>
        <v>2148787856.6</v>
      </c>
    </row>
    <row r="897" spans="1:8" s="16" customFormat="1" ht="15.75">
      <c r="A897" s="23" t="s">
        <v>607</v>
      </c>
      <c r="B897" s="54" t="s">
        <v>606</v>
      </c>
      <c r="C897" s="24" t="s">
        <v>332</v>
      </c>
      <c r="D897" s="50"/>
      <c r="E897" s="50"/>
      <c r="F897" s="55">
        <f>SUM(F898,F921,F959,F970,F978)</f>
        <v>2066078385.49</v>
      </c>
      <c r="G897" s="55">
        <f>SUM(G898,G921,G959,G970,G978)</f>
        <v>81009471.11000001</v>
      </c>
      <c r="H897" s="21">
        <f t="shared" si="50"/>
        <v>2147087856.6</v>
      </c>
    </row>
    <row r="898" spans="1:8" s="16" customFormat="1" ht="15.75">
      <c r="A898" s="26" t="s">
        <v>608</v>
      </c>
      <c r="B898" s="27" t="s">
        <v>606</v>
      </c>
      <c r="C898" s="28" t="s">
        <v>609</v>
      </c>
      <c r="D898" s="50"/>
      <c r="E898" s="50"/>
      <c r="F898" s="45">
        <f>SUM(F899,F916)</f>
        <v>781441961.3</v>
      </c>
      <c r="G898" s="45">
        <f>SUM(G899,G916)</f>
        <v>-1059049.8999999985</v>
      </c>
      <c r="H898" s="30">
        <f t="shared" si="50"/>
        <v>780382911.4</v>
      </c>
    </row>
    <row r="899" spans="1:8" s="16" customFormat="1" ht="31.5">
      <c r="A899" s="37" t="s">
        <v>335</v>
      </c>
      <c r="B899" s="32" t="s">
        <v>606</v>
      </c>
      <c r="C899" s="33" t="s">
        <v>609</v>
      </c>
      <c r="D899" s="34" t="s">
        <v>336</v>
      </c>
      <c r="E899" s="34"/>
      <c r="F899" s="38">
        <f>F900</f>
        <v>780941961.3</v>
      </c>
      <c r="G899" s="38">
        <f>G900</f>
        <v>-1059049.8999999985</v>
      </c>
      <c r="H899" s="36">
        <f t="shared" si="50"/>
        <v>779882911.4</v>
      </c>
    </row>
    <row r="900" spans="1:8" s="16" customFormat="1" ht="31.5">
      <c r="A900" s="51" t="s">
        <v>580</v>
      </c>
      <c r="B900" s="32" t="s">
        <v>606</v>
      </c>
      <c r="C900" s="33" t="s">
        <v>609</v>
      </c>
      <c r="D900" s="34" t="s">
        <v>581</v>
      </c>
      <c r="E900" s="34"/>
      <c r="F900" s="38">
        <f>SUM(F901,F907,F910,F913)</f>
        <v>780941961.3</v>
      </c>
      <c r="G900" s="38">
        <f>SUM(G901,G907,G910,G913)</f>
        <v>-1059049.8999999985</v>
      </c>
      <c r="H900" s="36">
        <f t="shared" si="50"/>
        <v>779882911.4</v>
      </c>
    </row>
    <row r="901" spans="1:8" s="16" customFormat="1" ht="31.5">
      <c r="A901" s="51" t="s">
        <v>610</v>
      </c>
      <c r="B901" s="32" t="s">
        <v>606</v>
      </c>
      <c r="C901" s="33" t="s">
        <v>609</v>
      </c>
      <c r="D901" s="34" t="s">
        <v>611</v>
      </c>
      <c r="E901" s="34"/>
      <c r="F901" s="38">
        <f>SUM(F902,F905)</f>
        <v>476798201.3</v>
      </c>
      <c r="G901" s="38">
        <f>SUM(G902,G905)</f>
        <v>-12945991.899999999</v>
      </c>
      <c r="H901" s="36">
        <f t="shared" si="50"/>
        <v>463852209.40000004</v>
      </c>
    </row>
    <row r="902" spans="1:8" s="16" customFormat="1" ht="31.5">
      <c r="A902" s="37" t="s">
        <v>74</v>
      </c>
      <c r="B902" s="32" t="s">
        <v>606</v>
      </c>
      <c r="C902" s="33" t="s">
        <v>609</v>
      </c>
      <c r="D902" s="34" t="s">
        <v>611</v>
      </c>
      <c r="E902" s="34">
        <v>600</v>
      </c>
      <c r="F902" s="38">
        <f>SUM(F903:F904)</f>
        <v>469026220.1</v>
      </c>
      <c r="G902" s="38">
        <f>SUM(G903:G904)</f>
        <v>-12590157.7</v>
      </c>
      <c r="H902" s="36">
        <f t="shared" si="50"/>
        <v>456436062.40000004</v>
      </c>
    </row>
    <row r="903" spans="1:8" s="16" customFormat="1" ht="15.75">
      <c r="A903" s="37" t="s">
        <v>75</v>
      </c>
      <c r="B903" s="32" t="s">
        <v>606</v>
      </c>
      <c r="C903" s="33" t="s">
        <v>609</v>
      </c>
      <c r="D903" s="34" t="s">
        <v>611</v>
      </c>
      <c r="E903" s="34">
        <v>610</v>
      </c>
      <c r="F903" s="42">
        <v>467717454.5</v>
      </c>
      <c r="G903" s="42">
        <v>-12530237.1</v>
      </c>
      <c r="H903" s="36">
        <f t="shared" si="50"/>
        <v>455187217.4</v>
      </c>
    </row>
    <row r="904" spans="1:8" s="16" customFormat="1" ht="47.25">
      <c r="A904" s="37" t="s">
        <v>84</v>
      </c>
      <c r="B904" s="32" t="s">
        <v>606</v>
      </c>
      <c r="C904" s="33" t="s">
        <v>609</v>
      </c>
      <c r="D904" s="34" t="s">
        <v>611</v>
      </c>
      <c r="E904" s="34">
        <v>630</v>
      </c>
      <c r="F904" s="42">
        <v>1308765.6</v>
      </c>
      <c r="G904" s="42">
        <v>-59920.6</v>
      </c>
      <c r="H904" s="36">
        <f t="shared" si="50"/>
        <v>1248845</v>
      </c>
    </row>
    <row r="905" spans="1:8" ht="15.75">
      <c r="A905" s="37" t="s">
        <v>36</v>
      </c>
      <c r="B905" s="32" t="s">
        <v>606</v>
      </c>
      <c r="C905" s="33" t="s">
        <v>609</v>
      </c>
      <c r="D905" s="34" t="s">
        <v>611</v>
      </c>
      <c r="E905" s="34">
        <v>800</v>
      </c>
      <c r="F905" s="42">
        <f>F906</f>
        <v>7771981.2</v>
      </c>
      <c r="G905" s="42">
        <f>G906</f>
        <v>-355834.2</v>
      </c>
      <c r="H905" s="36">
        <f t="shared" si="50"/>
        <v>7416147</v>
      </c>
    </row>
    <row r="906" spans="1:8" s="16" customFormat="1" ht="63">
      <c r="A906" s="37" t="s">
        <v>161</v>
      </c>
      <c r="B906" s="32" t="s">
        <v>606</v>
      </c>
      <c r="C906" s="33" t="s">
        <v>609</v>
      </c>
      <c r="D906" s="34" t="s">
        <v>611</v>
      </c>
      <c r="E906" s="34">
        <v>810</v>
      </c>
      <c r="F906" s="42">
        <v>7771981.2</v>
      </c>
      <c r="G906" s="42">
        <v>-355834.2</v>
      </c>
      <c r="H906" s="36">
        <f t="shared" si="50"/>
        <v>7416147</v>
      </c>
    </row>
    <row r="907" spans="1:8" s="16" customFormat="1" ht="47.25">
      <c r="A907" s="51" t="s">
        <v>612</v>
      </c>
      <c r="B907" s="32" t="s">
        <v>606</v>
      </c>
      <c r="C907" s="33" t="s">
        <v>609</v>
      </c>
      <c r="D907" s="34" t="s">
        <v>613</v>
      </c>
      <c r="E907" s="34"/>
      <c r="F907" s="38">
        <f>F908</f>
        <v>150000000</v>
      </c>
      <c r="G907" s="38">
        <f>G908</f>
        <v>5936000</v>
      </c>
      <c r="H907" s="36">
        <f t="shared" si="50"/>
        <v>155936000</v>
      </c>
    </row>
    <row r="908" spans="1:8" s="16" customFormat="1" ht="31.5">
      <c r="A908" s="37" t="s">
        <v>74</v>
      </c>
      <c r="B908" s="32" t="s">
        <v>606</v>
      </c>
      <c r="C908" s="33" t="s">
        <v>609</v>
      </c>
      <c r="D908" s="34" t="s">
        <v>613</v>
      </c>
      <c r="E908" s="34">
        <v>600</v>
      </c>
      <c r="F908" s="38">
        <f>F909</f>
        <v>150000000</v>
      </c>
      <c r="G908" s="38">
        <f>G909</f>
        <v>5936000</v>
      </c>
      <c r="H908" s="36">
        <f t="shared" si="50"/>
        <v>155936000</v>
      </c>
    </row>
    <row r="909" spans="1:8" s="16" customFormat="1" ht="15.75">
      <c r="A909" s="37" t="s">
        <v>75</v>
      </c>
      <c r="B909" s="32" t="s">
        <v>606</v>
      </c>
      <c r="C909" s="33" t="s">
        <v>609</v>
      </c>
      <c r="D909" s="34" t="s">
        <v>613</v>
      </c>
      <c r="E909" s="34">
        <v>610</v>
      </c>
      <c r="F909" s="38">
        <v>150000000</v>
      </c>
      <c r="G909" s="38">
        <f>36000+5900000</f>
        <v>5936000</v>
      </c>
      <c r="H909" s="36">
        <f t="shared" si="50"/>
        <v>155936000</v>
      </c>
    </row>
    <row r="910" spans="1:8" s="78" customFormat="1" ht="78.75">
      <c r="A910" s="63" t="s">
        <v>614</v>
      </c>
      <c r="B910" s="32" t="s">
        <v>606</v>
      </c>
      <c r="C910" s="33" t="s">
        <v>609</v>
      </c>
      <c r="D910" s="34" t="s">
        <v>615</v>
      </c>
      <c r="E910" s="34"/>
      <c r="F910" s="38">
        <f>F911</f>
        <v>123343760</v>
      </c>
      <c r="G910" s="38">
        <f>G911</f>
        <v>5752942</v>
      </c>
      <c r="H910" s="36">
        <f t="shared" si="50"/>
        <v>129096702</v>
      </c>
    </row>
    <row r="911" spans="1:8" s="79" customFormat="1" ht="31.5">
      <c r="A911" s="37" t="s">
        <v>74</v>
      </c>
      <c r="B911" s="32" t="s">
        <v>606</v>
      </c>
      <c r="C911" s="33" t="s">
        <v>609</v>
      </c>
      <c r="D911" s="34" t="s">
        <v>615</v>
      </c>
      <c r="E911" s="34">
        <v>600</v>
      </c>
      <c r="F911" s="38">
        <f>F912</f>
        <v>123343760</v>
      </c>
      <c r="G911" s="38">
        <f>G912</f>
        <v>5752942</v>
      </c>
      <c r="H911" s="36">
        <f t="shared" si="50"/>
        <v>129096702</v>
      </c>
    </row>
    <row r="912" spans="1:8" s="79" customFormat="1" ht="15.75">
      <c r="A912" s="37" t="s">
        <v>75</v>
      </c>
      <c r="B912" s="32" t="s">
        <v>606</v>
      </c>
      <c r="C912" s="33" t="s">
        <v>609</v>
      </c>
      <c r="D912" s="34" t="s">
        <v>615</v>
      </c>
      <c r="E912" s="34">
        <v>610</v>
      </c>
      <c r="F912" s="38">
        <f>6167188+117176572</f>
        <v>123343760</v>
      </c>
      <c r="G912" s="38">
        <v>5752942</v>
      </c>
      <c r="H912" s="36">
        <f t="shared" si="50"/>
        <v>129096702</v>
      </c>
    </row>
    <row r="913" spans="1:8" s="79" customFormat="1" ht="31.5">
      <c r="A913" s="51" t="s">
        <v>616</v>
      </c>
      <c r="B913" s="32" t="s">
        <v>606</v>
      </c>
      <c r="C913" s="33" t="s">
        <v>609</v>
      </c>
      <c r="D913" s="34" t="s">
        <v>617</v>
      </c>
      <c r="E913" s="34"/>
      <c r="F913" s="38">
        <f>F914</f>
        <v>30800000</v>
      </c>
      <c r="G913" s="38">
        <f>G914</f>
        <v>198000</v>
      </c>
      <c r="H913" s="36">
        <f t="shared" si="50"/>
        <v>30998000</v>
      </c>
    </row>
    <row r="914" spans="1:8" ht="31.5">
      <c r="A914" s="37" t="s">
        <v>74</v>
      </c>
      <c r="B914" s="32" t="s">
        <v>606</v>
      </c>
      <c r="C914" s="33" t="s">
        <v>609</v>
      </c>
      <c r="D914" s="34" t="s">
        <v>617</v>
      </c>
      <c r="E914" s="34">
        <v>600</v>
      </c>
      <c r="F914" s="38">
        <f>F915</f>
        <v>30800000</v>
      </c>
      <c r="G914" s="38">
        <f>G915</f>
        <v>198000</v>
      </c>
      <c r="H914" s="36">
        <f t="shared" si="50"/>
        <v>30998000</v>
      </c>
    </row>
    <row r="915" spans="1:8" ht="15.75">
      <c r="A915" s="37" t="s">
        <v>75</v>
      </c>
      <c r="B915" s="32" t="s">
        <v>606</v>
      </c>
      <c r="C915" s="33" t="s">
        <v>609</v>
      </c>
      <c r="D915" s="34" t="s">
        <v>617</v>
      </c>
      <c r="E915" s="34">
        <v>610</v>
      </c>
      <c r="F915" s="38">
        <v>30800000</v>
      </c>
      <c r="G915" s="38">
        <f>-36000+234000</f>
        <v>198000</v>
      </c>
      <c r="H915" s="36">
        <f t="shared" si="50"/>
        <v>30998000</v>
      </c>
    </row>
    <row r="916" spans="1:8" ht="47.25">
      <c r="A916" s="37" t="s">
        <v>76</v>
      </c>
      <c r="B916" s="32" t="s">
        <v>606</v>
      </c>
      <c r="C916" s="33" t="s">
        <v>609</v>
      </c>
      <c r="D916" s="34" t="s">
        <v>77</v>
      </c>
      <c r="E916" s="34"/>
      <c r="F916" s="38">
        <f>SUM(F917)</f>
        <v>500000</v>
      </c>
      <c r="G916" s="38">
        <f>SUM(G917)</f>
        <v>0</v>
      </c>
      <c r="H916" s="36">
        <f t="shared" si="50"/>
        <v>500000</v>
      </c>
    </row>
    <row r="917" spans="1:8" ht="47.25">
      <c r="A917" s="51" t="s">
        <v>78</v>
      </c>
      <c r="B917" s="32" t="s">
        <v>606</v>
      </c>
      <c r="C917" s="33" t="s">
        <v>609</v>
      </c>
      <c r="D917" s="34" t="s">
        <v>79</v>
      </c>
      <c r="E917" s="34"/>
      <c r="F917" s="38">
        <f aca="true" t="shared" si="52" ref="F917:G919">F918</f>
        <v>500000</v>
      </c>
      <c r="G917" s="38">
        <f t="shared" si="52"/>
        <v>0</v>
      </c>
      <c r="H917" s="36">
        <f t="shared" si="50"/>
        <v>500000</v>
      </c>
    </row>
    <row r="918" spans="1:8" ht="31.5">
      <c r="A918" s="51" t="s">
        <v>618</v>
      </c>
      <c r="B918" s="32" t="s">
        <v>606</v>
      </c>
      <c r="C918" s="33" t="s">
        <v>609</v>
      </c>
      <c r="D918" s="34" t="s">
        <v>619</v>
      </c>
      <c r="E918" s="34"/>
      <c r="F918" s="38">
        <f t="shared" si="52"/>
        <v>500000</v>
      </c>
      <c r="G918" s="38">
        <f t="shared" si="52"/>
        <v>0</v>
      </c>
      <c r="H918" s="36">
        <f t="shared" si="50"/>
        <v>500000</v>
      </c>
    </row>
    <row r="919" spans="1:8" ht="31.5">
      <c r="A919" s="37" t="s">
        <v>74</v>
      </c>
      <c r="B919" s="32" t="s">
        <v>606</v>
      </c>
      <c r="C919" s="33" t="s">
        <v>609</v>
      </c>
      <c r="D919" s="34" t="s">
        <v>619</v>
      </c>
      <c r="E919" s="34">
        <v>600</v>
      </c>
      <c r="F919" s="38">
        <f t="shared" si="52"/>
        <v>500000</v>
      </c>
      <c r="G919" s="38">
        <f t="shared" si="52"/>
        <v>0</v>
      </c>
      <c r="H919" s="36">
        <f t="shared" si="50"/>
        <v>500000</v>
      </c>
    </row>
    <row r="920" spans="1:8" ht="15.75">
      <c r="A920" s="37" t="s">
        <v>75</v>
      </c>
      <c r="B920" s="32" t="s">
        <v>606</v>
      </c>
      <c r="C920" s="33" t="s">
        <v>609</v>
      </c>
      <c r="D920" s="34" t="s">
        <v>619</v>
      </c>
      <c r="E920" s="34">
        <v>610</v>
      </c>
      <c r="F920" s="42">
        <v>500000</v>
      </c>
      <c r="G920" s="42">
        <v>0</v>
      </c>
      <c r="H920" s="36">
        <f t="shared" si="50"/>
        <v>500000</v>
      </c>
    </row>
    <row r="921" spans="1:8" ht="15.75">
      <c r="A921" s="26" t="s">
        <v>333</v>
      </c>
      <c r="B921" s="27" t="s">
        <v>606</v>
      </c>
      <c r="C921" s="28" t="s">
        <v>334</v>
      </c>
      <c r="D921" s="34"/>
      <c r="E921" s="34"/>
      <c r="F921" s="45">
        <f>SUM(F922,F954)</f>
        <v>1121869288.52</v>
      </c>
      <c r="G921" s="45">
        <f>SUM(G922,G954)</f>
        <v>74652630.88000001</v>
      </c>
      <c r="H921" s="30">
        <f t="shared" si="50"/>
        <v>1196521919.4</v>
      </c>
    </row>
    <row r="922" spans="1:8" ht="31.5">
      <c r="A922" s="37" t="s">
        <v>335</v>
      </c>
      <c r="B922" s="32" t="s">
        <v>606</v>
      </c>
      <c r="C922" s="33" t="s">
        <v>334</v>
      </c>
      <c r="D922" s="34" t="s">
        <v>336</v>
      </c>
      <c r="E922" s="34"/>
      <c r="F922" s="38">
        <f>SUM(F923,F943)</f>
        <v>1121569288.52</v>
      </c>
      <c r="G922" s="38">
        <f>SUM(G923,G943)</f>
        <v>74652630.88000001</v>
      </c>
      <c r="H922" s="36">
        <f t="shared" si="50"/>
        <v>1196221919.4</v>
      </c>
    </row>
    <row r="923" spans="1:8" ht="31.5">
      <c r="A923" s="51" t="s">
        <v>337</v>
      </c>
      <c r="B923" s="32" t="s">
        <v>606</v>
      </c>
      <c r="C923" s="33" t="s">
        <v>334</v>
      </c>
      <c r="D923" s="34" t="s">
        <v>338</v>
      </c>
      <c r="E923" s="34"/>
      <c r="F923" s="38">
        <f>SUM(F924,F928,F931,F934,F940,F937)</f>
        <v>1013413960.1</v>
      </c>
      <c r="G923" s="38">
        <f>SUM(G924,G928,G931,G934,G940,G937)</f>
        <v>75310905.88000001</v>
      </c>
      <c r="H923" s="36">
        <f aca="true" t="shared" si="53" ref="H923:H986">SUM(F923:G923)</f>
        <v>1088724865.98</v>
      </c>
    </row>
    <row r="924" spans="1:8" ht="31.5">
      <c r="A924" s="51" t="s">
        <v>620</v>
      </c>
      <c r="B924" s="32" t="s">
        <v>606</v>
      </c>
      <c r="C924" s="33" t="s">
        <v>334</v>
      </c>
      <c r="D924" s="34" t="s">
        <v>621</v>
      </c>
      <c r="E924" s="34"/>
      <c r="F924" s="38">
        <f>F925</f>
        <v>759351448.1</v>
      </c>
      <c r="G924" s="38">
        <f>G925</f>
        <v>52084035.68</v>
      </c>
      <c r="H924" s="36">
        <f t="shared" si="53"/>
        <v>811435483.78</v>
      </c>
    </row>
    <row r="925" spans="1:8" ht="31.5">
      <c r="A925" s="37" t="s">
        <v>74</v>
      </c>
      <c r="B925" s="32" t="s">
        <v>606</v>
      </c>
      <c r="C925" s="33" t="s">
        <v>334</v>
      </c>
      <c r="D925" s="34" t="s">
        <v>621</v>
      </c>
      <c r="E925" s="34">
        <v>600</v>
      </c>
      <c r="F925" s="38">
        <f>F926+F927</f>
        <v>759351448.1</v>
      </c>
      <c r="G925" s="38">
        <f>G926+G927</f>
        <v>52084035.68</v>
      </c>
      <c r="H925" s="36">
        <f t="shared" si="53"/>
        <v>811435483.78</v>
      </c>
    </row>
    <row r="926" spans="1:8" ht="15.75">
      <c r="A926" s="37" t="s">
        <v>75</v>
      </c>
      <c r="B926" s="32" t="s">
        <v>606</v>
      </c>
      <c r="C926" s="33" t="s">
        <v>334</v>
      </c>
      <c r="D926" s="34" t="s">
        <v>621</v>
      </c>
      <c r="E926" s="34">
        <v>610</v>
      </c>
      <c r="F926" s="42">
        <v>722022962</v>
      </c>
      <c r="G926" s="42">
        <f>22939338.78+27958737</f>
        <v>50898075.78</v>
      </c>
      <c r="H926" s="36">
        <f t="shared" si="53"/>
        <v>772921037.78</v>
      </c>
    </row>
    <row r="927" spans="1:8" ht="47.25">
      <c r="A927" s="37" t="s">
        <v>84</v>
      </c>
      <c r="B927" s="32" t="s">
        <v>606</v>
      </c>
      <c r="C927" s="33" t="s">
        <v>334</v>
      </c>
      <c r="D927" s="34" t="s">
        <v>621</v>
      </c>
      <c r="E927" s="34">
        <v>630</v>
      </c>
      <c r="F927" s="42">
        <v>37328486.1</v>
      </c>
      <c r="G927" s="42">
        <v>1185959.9</v>
      </c>
      <c r="H927" s="36">
        <f t="shared" si="53"/>
        <v>38514446</v>
      </c>
    </row>
    <row r="928" spans="1:8" ht="47.25">
      <c r="A928" s="51" t="s">
        <v>622</v>
      </c>
      <c r="B928" s="32" t="s">
        <v>606</v>
      </c>
      <c r="C928" s="33" t="s">
        <v>334</v>
      </c>
      <c r="D928" s="34" t="s">
        <v>623</v>
      </c>
      <c r="E928" s="34"/>
      <c r="F928" s="42">
        <f>F929</f>
        <v>2174472</v>
      </c>
      <c r="G928" s="42">
        <f>G929</f>
        <v>0</v>
      </c>
      <c r="H928" s="36">
        <f t="shared" si="53"/>
        <v>2174472</v>
      </c>
    </row>
    <row r="929" spans="1:8" ht="31.5">
      <c r="A929" s="37" t="s">
        <v>74</v>
      </c>
      <c r="B929" s="32" t="s">
        <v>606</v>
      </c>
      <c r="C929" s="33" t="s">
        <v>334</v>
      </c>
      <c r="D929" s="34" t="s">
        <v>623</v>
      </c>
      <c r="E929" s="34">
        <v>600</v>
      </c>
      <c r="F929" s="42">
        <f>F930</f>
        <v>2174472</v>
      </c>
      <c r="G929" s="42">
        <f>G930</f>
        <v>0</v>
      </c>
      <c r="H929" s="36">
        <f t="shared" si="53"/>
        <v>2174472</v>
      </c>
    </row>
    <row r="930" spans="1:8" ht="15.75">
      <c r="A930" s="37" t="s">
        <v>75</v>
      </c>
      <c r="B930" s="32" t="s">
        <v>606</v>
      </c>
      <c r="C930" s="33" t="s">
        <v>334</v>
      </c>
      <c r="D930" s="34" t="s">
        <v>623</v>
      </c>
      <c r="E930" s="34">
        <v>610</v>
      </c>
      <c r="F930" s="42">
        <v>2174472</v>
      </c>
      <c r="G930" s="42">
        <v>0</v>
      </c>
      <c r="H930" s="36">
        <f t="shared" si="53"/>
        <v>2174472</v>
      </c>
    </row>
    <row r="931" spans="1:8" ht="31.5">
      <c r="A931" s="51" t="s">
        <v>624</v>
      </c>
      <c r="B931" s="32" t="s">
        <v>606</v>
      </c>
      <c r="C931" s="33" t="s">
        <v>334</v>
      </c>
      <c r="D931" s="34" t="s">
        <v>625</v>
      </c>
      <c r="E931" s="34"/>
      <c r="F931" s="38">
        <f>F932</f>
        <v>195000000</v>
      </c>
      <c r="G931" s="38">
        <f>G932</f>
        <v>16214808</v>
      </c>
      <c r="H931" s="36">
        <f t="shared" si="53"/>
        <v>211214808</v>
      </c>
    </row>
    <row r="932" spans="1:8" ht="31.5">
      <c r="A932" s="37" t="s">
        <v>74</v>
      </c>
      <c r="B932" s="32" t="s">
        <v>606</v>
      </c>
      <c r="C932" s="33" t="s">
        <v>334</v>
      </c>
      <c r="D932" s="34" t="s">
        <v>625</v>
      </c>
      <c r="E932" s="34">
        <v>600</v>
      </c>
      <c r="F932" s="38">
        <f>F933</f>
        <v>195000000</v>
      </c>
      <c r="G932" s="38">
        <f>G933</f>
        <v>16214808</v>
      </c>
      <c r="H932" s="36">
        <f t="shared" si="53"/>
        <v>211214808</v>
      </c>
    </row>
    <row r="933" spans="1:8" ht="15.75">
      <c r="A933" s="37" t="s">
        <v>75</v>
      </c>
      <c r="B933" s="32" t="s">
        <v>606</v>
      </c>
      <c r="C933" s="33" t="s">
        <v>334</v>
      </c>
      <c r="D933" s="34" t="s">
        <v>625</v>
      </c>
      <c r="E933" s="34">
        <v>610</v>
      </c>
      <c r="F933" s="38">
        <v>195000000</v>
      </c>
      <c r="G933" s="38">
        <f>4560000-610000+129000+5000000+5000000+2135808</f>
        <v>16214808</v>
      </c>
      <c r="H933" s="36">
        <f t="shared" si="53"/>
        <v>211214808</v>
      </c>
    </row>
    <row r="934" spans="1:8" ht="31.5">
      <c r="A934" s="51" t="s">
        <v>339</v>
      </c>
      <c r="B934" s="32" t="s">
        <v>606</v>
      </c>
      <c r="C934" s="33" t="s">
        <v>334</v>
      </c>
      <c r="D934" s="34" t="s">
        <v>340</v>
      </c>
      <c r="E934" s="34"/>
      <c r="F934" s="38">
        <f>F935</f>
        <v>16500000</v>
      </c>
      <c r="G934" s="38">
        <f>G935</f>
        <v>3377713.2</v>
      </c>
      <c r="H934" s="36">
        <f t="shared" si="53"/>
        <v>19877713.2</v>
      </c>
    </row>
    <row r="935" spans="1:8" ht="31.5">
      <c r="A935" s="37" t="s">
        <v>74</v>
      </c>
      <c r="B935" s="32" t="s">
        <v>606</v>
      </c>
      <c r="C935" s="33" t="s">
        <v>334</v>
      </c>
      <c r="D935" s="34" t="s">
        <v>340</v>
      </c>
      <c r="E935" s="34">
        <v>600</v>
      </c>
      <c r="F935" s="38">
        <f>F936</f>
        <v>16500000</v>
      </c>
      <c r="G935" s="38">
        <f>G936</f>
        <v>3377713.2</v>
      </c>
      <c r="H935" s="36">
        <f t="shared" si="53"/>
        <v>19877713.2</v>
      </c>
    </row>
    <row r="936" spans="1:8" ht="15.75">
      <c r="A936" s="37" t="s">
        <v>75</v>
      </c>
      <c r="B936" s="32" t="s">
        <v>606</v>
      </c>
      <c r="C936" s="33" t="s">
        <v>334</v>
      </c>
      <c r="D936" s="34" t="s">
        <v>340</v>
      </c>
      <c r="E936" s="34">
        <v>610</v>
      </c>
      <c r="F936" s="38">
        <v>16500000</v>
      </c>
      <c r="G936" s="38">
        <f>610000+2571000+196713.2</f>
        <v>3377713.2</v>
      </c>
      <c r="H936" s="36">
        <f t="shared" si="53"/>
        <v>19877713.2</v>
      </c>
    </row>
    <row r="937" spans="1:8" ht="78.75">
      <c r="A937" s="37" t="s">
        <v>626</v>
      </c>
      <c r="B937" s="32" t="s">
        <v>606</v>
      </c>
      <c r="C937" s="33" t="s">
        <v>334</v>
      </c>
      <c r="D937" s="34" t="s">
        <v>627</v>
      </c>
      <c r="E937" s="34"/>
      <c r="F937" s="38">
        <f>F938</f>
        <v>0</v>
      </c>
      <c r="G937" s="38">
        <f>G938</f>
        <v>2000000</v>
      </c>
      <c r="H937" s="35">
        <f t="shared" si="53"/>
        <v>2000000</v>
      </c>
    </row>
    <row r="938" spans="1:8" ht="31.5">
      <c r="A938" s="37" t="s">
        <v>74</v>
      </c>
      <c r="B938" s="32" t="s">
        <v>606</v>
      </c>
      <c r="C938" s="33" t="s">
        <v>334</v>
      </c>
      <c r="D938" s="34" t="s">
        <v>627</v>
      </c>
      <c r="E938" s="34">
        <v>600</v>
      </c>
      <c r="F938" s="38">
        <f>F939</f>
        <v>0</v>
      </c>
      <c r="G938" s="38">
        <f>G939</f>
        <v>2000000</v>
      </c>
      <c r="H938" s="35">
        <f t="shared" si="53"/>
        <v>2000000</v>
      </c>
    </row>
    <row r="939" spans="1:8" ht="15.75">
      <c r="A939" s="37" t="s">
        <v>75</v>
      </c>
      <c r="B939" s="32" t="s">
        <v>606</v>
      </c>
      <c r="C939" s="33" t="s">
        <v>334</v>
      </c>
      <c r="D939" s="34" t="s">
        <v>627</v>
      </c>
      <c r="E939" s="34">
        <v>610</v>
      </c>
      <c r="F939" s="38"/>
      <c r="G939" s="38">
        <v>2000000</v>
      </c>
      <c r="H939" s="35">
        <f t="shared" si="53"/>
        <v>2000000</v>
      </c>
    </row>
    <row r="940" spans="1:8" ht="47.25">
      <c r="A940" s="37" t="s">
        <v>628</v>
      </c>
      <c r="B940" s="32" t="s">
        <v>606</v>
      </c>
      <c r="C940" s="33" t="s">
        <v>334</v>
      </c>
      <c r="D940" s="34" t="s">
        <v>629</v>
      </c>
      <c r="E940" s="34"/>
      <c r="F940" s="38">
        <f>F941</f>
        <v>40388040</v>
      </c>
      <c r="G940" s="38">
        <f>G941</f>
        <v>1634349</v>
      </c>
      <c r="H940" s="36">
        <f t="shared" si="53"/>
        <v>42022389</v>
      </c>
    </row>
    <row r="941" spans="1:8" ht="31.5">
      <c r="A941" s="37" t="s">
        <v>74</v>
      </c>
      <c r="B941" s="32" t="s">
        <v>606</v>
      </c>
      <c r="C941" s="33" t="s">
        <v>334</v>
      </c>
      <c r="D941" s="34" t="s">
        <v>629</v>
      </c>
      <c r="E941" s="34">
        <v>600</v>
      </c>
      <c r="F941" s="38">
        <f>F942</f>
        <v>40388040</v>
      </c>
      <c r="G941" s="38">
        <f>G942</f>
        <v>1634349</v>
      </c>
      <c r="H941" s="36">
        <f t="shared" si="53"/>
        <v>42022389</v>
      </c>
    </row>
    <row r="942" spans="1:8" ht="15.75">
      <c r="A942" s="37" t="s">
        <v>75</v>
      </c>
      <c r="B942" s="32" t="s">
        <v>606</v>
      </c>
      <c r="C942" s="33" t="s">
        <v>334</v>
      </c>
      <c r="D942" s="34" t="s">
        <v>629</v>
      </c>
      <c r="E942" s="34">
        <v>610</v>
      </c>
      <c r="F942" s="38">
        <v>40388040</v>
      </c>
      <c r="G942" s="38">
        <v>1634349</v>
      </c>
      <c r="H942" s="36">
        <f t="shared" si="53"/>
        <v>42022389</v>
      </c>
    </row>
    <row r="943" spans="1:8" ht="47.25">
      <c r="A943" s="37" t="s">
        <v>630</v>
      </c>
      <c r="B943" s="32" t="s">
        <v>606</v>
      </c>
      <c r="C943" s="33" t="s">
        <v>334</v>
      </c>
      <c r="D943" s="34" t="s">
        <v>631</v>
      </c>
      <c r="E943" s="34"/>
      <c r="F943" s="38">
        <f>SUM(F944,F948,F951)</f>
        <v>108155328.41999999</v>
      </c>
      <c r="G943" s="38">
        <f>SUM(G944,G948,G951)</f>
        <v>-658274.9999999998</v>
      </c>
      <c r="H943" s="36">
        <f t="shared" si="53"/>
        <v>107497053.41999999</v>
      </c>
    </row>
    <row r="944" spans="1:8" ht="47.25">
      <c r="A944" s="37" t="s">
        <v>632</v>
      </c>
      <c r="B944" s="32" t="s">
        <v>606</v>
      </c>
      <c r="C944" s="33" t="s">
        <v>334</v>
      </c>
      <c r="D944" s="34" t="s">
        <v>633</v>
      </c>
      <c r="E944" s="34"/>
      <c r="F944" s="38">
        <f>F945</f>
        <v>33000000</v>
      </c>
      <c r="G944" s="38">
        <f>G945</f>
        <v>60817.1</v>
      </c>
      <c r="H944" s="36">
        <f t="shared" si="53"/>
        <v>33060817.1</v>
      </c>
    </row>
    <row r="945" spans="1:8" ht="31.5">
      <c r="A945" s="37" t="s">
        <v>74</v>
      </c>
      <c r="B945" s="32" t="s">
        <v>606</v>
      </c>
      <c r="C945" s="33" t="s">
        <v>334</v>
      </c>
      <c r="D945" s="34" t="s">
        <v>633</v>
      </c>
      <c r="E945" s="34">
        <v>600</v>
      </c>
      <c r="F945" s="38">
        <f>SUM(F946:F947)</f>
        <v>33000000</v>
      </c>
      <c r="G945" s="38">
        <f>SUM(G946:G947)</f>
        <v>60817.1</v>
      </c>
      <c r="H945" s="36">
        <f t="shared" si="53"/>
        <v>33060817.1</v>
      </c>
    </row>
    <row r="946" spans="1:8" ht="15.75">
      <c r="A946" s="37" t="s">
        <v>75</v>
      </c>
      <c r="B946" s="32" t="s">
        <v>606</v>
      </c>
      <c r="C946" s="33" t="s">
        <v>334</v>
      </c>
      <c r="D946" s="34" t="s">
        <v>633</v>
      </c>
      <c r="E946" s="34">
        <v>610</v>
      </c>
      <c r="F946" s="38">
        <v>31000000</v>
      </c>
      <c r="G946" s="38">
        <v>60816.68</v>
      </c>
      <c r="H946" s="36">
        <f t="shared" si="53"/>
        <v>31060816.68</v>
      </c>
    </row>
    <row r="947" spans="1:8" ht="47.25">
      <c r="A947" s="37" t="s">
        <v>84</v>
      </c>
      <c r="B947" s="32" t="s">
        <v>606</v>
      </c>
      <c r="C947" s="33" t="s">
        <v>334</v>
      </c>
      <c r="D947" s="34" t="s">
        <v>633</v>
      </c>
      <c r="E947" s="34">
        <v>630</v>
      </c>
      <c r="F947" s="38">
        <v>2000000</v>
      </c>
      <c r="G947" s="38">
        <v>0.42</v>
      </c>
      <c r="H947" s="36">
        <f t="shared" si="53"/>
        <v>2000000.42</v>
      </c>
    </row>
    <row r="948" spans="1:8" ht="63">
      <c r="A948" s="37" t="s">
        <v>634</v>
      </c>
      <c r="B948" s="32" t="s">
        <v>606</v>
      </c>
      <c r="C948" s="33" t="s">
        <v>334</v>
      </c>
      <c r="D948" s="34" t="s">
        <v>635</v>
      </c>
      <c r="E948" s="34"/>
      <c r="F948" s="38">
        <f>F949</f>
        <v>75155328.41999999</v>
      </c>
      <c r="G948" s="38">
        <f>G949</f>
        <v>-1216342.0999999999</v>
      </c>
      <c r="H948" s="36">
        <f t="shared" si="53"/>
        <v>73938986.32</v>
      </c>
    </row>
    <row r="949" spans="1:8" ht="31.5">
      <c r="A949" s="37" t="s">
        <v>74</v>
      </c>
      <c r="B949" s="32" t="s">
        <v>606</v>
      </c>
      <c r="C949" s="33" t="s">
        <v>334</v>
      </c>
      <c r="D949" s="34" t="s">
        <v>635</v>
      </c>
      <c r="E949" s="34">
        <v>600</v>
      </c>
      <c r="F949" s="38">
        <f>F950</f>
        <v>75155328.41999999</v>
      </c>
      <c r="G949" s="38">
        <f>G950</f>
        <v>-1216342.0999999999</v>
      </c>
      <c r="H949" s="36">
        <f t="shared" si="53"/>
        <v>73938986.32</v>
      </c>
    </row>
    <row r="950" spans="1:8" ht="15.75">
      <c r="A950" s="37" t="s">
        <v>75</v>
      </c>
      <c r="B950" s="32" t="s">
        <v>606</v>
      </c>
      <c r="C950" s="33" t="s">
        <v>334</v>
      </c>
      <c r="D950" s="34" t="s">
        <v>635</v>
      </c>
      <c r="E950" s="34">
        <v>610</v>
      </c>
      <c r="F950" s="38">
        <f>3639539.21+69151245+2246317+118227.21</f>
        <v>75155328.41999999</v>
      </c>
      <c r="G950" s="38">
        <f>-0.42-1155525-60816.68</f>
        <v>-1216342.0999999999</v>
      </c>
      <c r="H950" s="36">
        <f t="shared" si="53"/>
        <v>73938986.32</v>
      </c>
    </row>
    <row r="951" spans="1:8" ht="204.75">
      <c r="A951" s="63" t="s">
        <v>636</v>
      </c>
      <c r="B951" s="32" t="s">
        <v>606</v>
      </c>
      <c r="C951" s="33" t="s">
        <v>334</v>
      </c>
      <c r="D951" s="34" t="s">
        <v>637</v>
      </c>
      <c r="E951" s="34"/>
      <c r="F951" s="38">
        <f>F952</f>
        <v>0</v>
      </c>
      <c r="G951" s="38">
        <f>G952</f>
        <v>497250</v>
      </c>
      <c r="H951" s="36">
        <f t="shared" si="53"/>
        <v>497250</v>
      </c>
    </row>
    <row r="952" spans="1:8" ht="31.5">
      <c r="A952" s="37" t="s">
        <v>74</v>
      </c>
      <c r="B952" s="32" t="s">
        <v>606</v>
      </c>
      <c r="C952" s="33" t="s">
        <v>334</v>
      </c>
      <c r="D952" s="34" t="s">
        <v>637</v>
      </c>
      <c r="E952" s="34">
        <v>600</v>
      </c>
      <c r="F952" s="38">
        <f>F953</f>
        <v>0</v>
      </c>
      <c r="G952" s="38">
        <f>G953</f>
        <v>497250</v>
      </c>
      <c r="H952" s="36">
        <f t="shared" si="53"/>
        <v>497250</v>
      </c>
    </row>
    <row r="953" spans="1:8" ht="15.75">
      <c r="A953" s="37" t="s">
        <v>75</v>
      </c>
      <c r="B953" s="32" t="s">
        <v>606</v>
      </c>
      <c r="C953" s="33" t="s">
        <v>334</v>
      </c>
      <c r="D953" s="34" t="s">
        <v>637</v>
      </c>
      <c r="E953" s="34">
        <v>610</v>
      </c>
      <c r="F953" s="38">
        <v>0</v>
      </c>
      <c r="G953" s="38">
        <v>497250</v>
      </c>
      <c r="H953" s="36">
        <f t="shared" si="53"/>
        <v>497250</v>
      </c>
    </row>
    <row r="954" spans="1:8" ht="47.25">
      <c r="A954" s="37" t="s">
        <v>76</v>
      </c>
      <c r="B954" s="32" t="s">
        <v>606</v>
      </c>
      <c r="C954" s="33" t="s">
        <v>334</v>
      </c>
      <c r="D954" s="34" t="s">
        <v>77</v>
      </c>
      <c r="E954" s="34"/>
      <c r="F954" s="38">
        <f>SUM(F955)</f>
        <v>300000</v>
      </c>
      <c r="G954" s="38">
        <f>SUM(G955)</f>
        <v>0</v>
      </c>
      <c r="H954" s="36">
        <f t="shared" si="53"/>
        <v>300000</v>
      </c>
    </row>
    <row r="955" spans="1:8" ht="47.25">
      <c r="A955" s="51" t="s">
        <v>78</v>
      </c>
      <c r="B955" s="32" t="s">
        <v>606</v>
      </c>
      <c r="C955" s="33" t="s">
        <v>334</v>
      </c>
      <c r="D955" s="34" t="s">
        <v>79</v>
      </c>
      <c r="E955" s="34"/>
      <c r="F955" s="38">
        <f aca="true" t="shared" si="54" ref="F955:G957">F956</f>
        <v>300000</v>
      </c>
      <c r="G955" s="38">
        <f t="shared" si="54"/>
        <v>0</v>
      </c>
      <c r="H955" s="36">
        <f t="shared" si="53"/>
        <v>300000</v>
      </c>
    </row>
    <row r="956" spans="1:8" ht="31.5">
      <c r="A956" s="51" t="s">
        <v>618</v>
      </c>
      <c r="B956" s="32" t="s">
        <v>606</v>
      </c>
      <c r="C956" s="33" t="s">
        <v>334</v>
      </c>
      <c r="D956" s="34" t="s">
        <v>619</v>
      </c>
      <c r="E956" s="34"/>
      <c r="F956" s="38">
        <f t="shared" si="54"/>
        <v>300000</v>
      </c>
      <c r="G956" s="38">
        <f t="shared" si="54"/>
        <v>0</v>
      </c>
      <c r="H956" s="36">
        <f t="shared" si="53"/>
        <v>300000</v>
      </c>
    </row>
    <row r="957" spans="1:8" ht="31.5">
      <c r="A957" s="37" t="s">
        <v>74</v>
      </c>
      <c r="B957" s="32" t="s">
        <v>606</v>
      </c>
      <c r="C957" s="33" t="s">
        <v>334</v>
      </c>
      <c r="D957" s="34" t="s">
        <v>619</v>
      </c>
      <c r="E957" s="34">
        <v>600</v>
      </c>
      <c r="F957" s="38">
        <f t="shared" si="54"/>
        <v>300000</v>
      </c>
      <c r="G957" s="38">
        <f t="shared" si="54"/>
        <v>0</v>
      </c>
      <c r="H957" s="36">
        <f t="shared" si="53"/>
        <v>300000</v>
      </c>
    </row>
    <row r="958" spans="1:8" ht="15.75">
      <c r="A958" s="37" t="s">
        <v>75</v>
      </c>
      <c r="B958" s="32" t="s">
        <v>606</v>
      </c>
      <c r="C958" s="33" t="s">
        <v>334</v>
      </c>
      <c r="D958" s="34" t="s">
        <v>619</v>
      </c>
      <c r="E958" s="34">
        <v>610</v>
      </c>
      <c r="F958" s="42">
        <v>300000</v>
      </c>
      <c r="G958" s="42">
        <v>0</v>
      </c>
      <c r="H958" s="36">
        <f t="shared" si="53"/>
        <v>300000</v>
      </c>
    </row>
    <row r="959" spans="1:8" ht="15.75">
      <c r="A959" s="58" t="s">
        <v>439</v>
      </c>
      <c r="B959" s="27" t="s">
        <v>606</v>
      </c>
      <c r="C959" s="28" t="s">
        <v>440</v>
      </c>
      <c r="D959" s="44"/>
      <c r="E959" s="44"/>
      <c r="F959" s="59">
        <f>F960</f>
        <v>72100000</v>
      </c>
      <c r="G959" s="59">
        <f>G960</f>
        <v>2854000</v>
      </c>
      <c r="H959" s="30">
        <f t="shared" si="53"/>
        <v>74954000</v>
      </c>
    </row>
    <row r="960" spans="1:8" ht="31.5">
      <c r="A960" s="37" t="s">
        <v>335</v>
      </c>
      <c r="B960" s="32" t="s">
        <v>606</v>
      </c>
      <c r="C960" s="33" t="s">
        <v>440</v>
      </c>
      <c r="D960" s="34" t="s">
        <v>336</v>
      </c>
      <c r="E960" s="34"/>
      <c r="F960" s="42">
        <f>F961</f>
        <v>72100000</v>
      </c>
      <c r="G960" s="42">
        <f>G961</f>
        <v>2854000</v>
      </c>
      <c r="H960" s="36">
        <f t="shared" si="53"/>
        <v>74954000</v>
      </c>
    </row>
    <row r="961" spans="1:8" ht="31.5">
      <c r="A961" s="37" t="s">
        <v>638</v>
      </c>
      <c r="B961" s="32" t="s">
        <v>606</v>
      </c>
      <c r="C961" s="33" t="s">
        <v>440</v>
      </c>
      <c r="D961" s="34" t="s">
        <v>639</v>
      </c>
      <c r="E961" s="34"/>
      <c r="F961" s="38">
        <f>SUM(F962,F966)</f>
        <v>72100000</v>
      </c>
      <c r="G961" s="38">
        <f>SUM(G962,G966)</f>
        <v>2854000</v>
      </c>
      <c r="H961" s="36">
        <f t="shared" si="53"/>
        <v>74954000</v>
      </c>
    </row>
    <row r="962" spans="1:8" ht="31.5">
      <c r="A962" s="37" t="s">
        <v>640</v>
      </c>
      <c r="B962" s="32" t="s">
        <v>606</v>
      </c>
      <c r="C962" s="33" t="s">
        <v>440</v>
      </c>
      <c r="D962" s="34" t="s">
        <v>641</v>
      </c>
      <c r="E962" s="34"/>
      <c r="F962" s="38">
        <f>F963</f>
        <v>71400000</v>
      </c>
      <c r="G962" s="38">
        <f>G963</f>
        <v>3054000</v>
      </c>
      <c r="H962" s="36">
        <f t="shared" si="53"/>
        <v>74454000</v>
      </c>
    </row>
    <row r="963" spans="1:8" ht="31.5">
      <c r="A963" s="37" t="s">
        <v>74</v>
      </c>
      <c r="B963" s="32" t="s">
        <v>606</v>
      </c>
      <c r="C963" s="33" t="s">
        <v>440</v>
      </c>
      <c r="D963" s="34" t="s">
        <v>641</v>
      </c>
      <c r="E963" s="34">
        <v>600</v>
      </c>
      <c r="F963" s="38">
        <f>F964+F965</f>
        <v>71400000</v>
      </c>
      <c r="G963" s="38">
        <f>G964+G965</f>
        <v>3054000</v>
      </c>
      <c r="H963" s="36">
        <f t="shared" si="53"/>
        <v>74454000</v>
      </c>
    </row>
    <row r="964" spans="1:8" ht="15.75">
      <c r="A964" s="37" t="s">
        <v>75</v>
      </c>
      <c r="B964" s="32" t="s">
        <v>606</v>
      </c>
      <c r="C964" s="33" t="s">
        <v>440</v>
      </c>
      <c r="D964" s="34" t="s">
        <v>641</v>
      </c>
      <c r="E964" s="34">
        <v>610</v>
      </c>
      <c r="F964" s="38">
        <v>70500000</v>
      </c>
      <c r="G964" s="38">
        <v>2854000</v>
      </c>
      <c r="H964" s="36">
        <f t="shared" si="53"/>
        <v>73354000</v>
      </c>
    </row>
    <row r="965" spans="1:8" ht="15.75">
      <c r="A965" s="37" t="s">
        <v>310</v>
      </c>
      <c r="B965" s="32" t="s">
        <v>606</v>
      </c>
      <c r="C965" s="33" t="s">
        <v>440</v>
      </c>
      <c r="D965" s="34" t="s">
        <v>641</v>
      </c>
      <c r="E965" s="34">
        <v>620</v>
      </c>
      <c r="F965" s="38">
        <v>900000</v>
      </c>
      <c r="G965" s="38">
        <v>200000</v>
      </c>
      <c r="H965" s="36">
        <f t="shared" si="53"/>
        <v>1100000</v>
      </c>
    </row>
    <row r="966" spans="1:8" ht="31.5">
      <c r="A966" s="37" t="s">
        <v>642</v>
      </c>
      <c r="B966" s="32" t="s">
        <v>606</v>
      </c>
      <c r="C966" s="33" t="s">
        <v>440</v>
      </c>
      <c r="D966" s="34" t="s">
        <v>643</v>
      </c>
      <c r="E966" s="34"/>
      <c r="F966" s="38">
        <f>F967</f>
        <v>700000</v>
      </c>
      <c r="G966" s="38">
        <f>G967</f>
        <v>-200000</v>
      </c>
      <c r="H966" s="36">
        <f t="shared" si="53"/>
        <v>500000</v>
      </c>
    </row>
    <row r="967" spans="1:8" ht="31.5">
      <c r="A967" s="37" t="s">
        <v>74</v>
      </c>
      <c r="B967" s="32" t="s">
        <v>606</v>
      </c>
      <c r="C967" s="33" t="s">
        <v>440</v>
      </c>
      <c r="D967" s="34" t="s">
        <v>643</v>
      </c>
      <c r="E967" s="34">
        <v>600</v>
      </c>
      <c r="F967" s="38">
        <f>SUM(F968,F969)</f>
        <v>700000</v>
      </c>
      <c r="G967" s="38">
        <f>SUM(G968,G969)</f>
        <v>-200000</v>
      </c>
      <c r="H967" s="36">
        <f t="shared" si="53"/>
        <v>500000</v>
      </c>
    </row>
    <row r="968" spans="1:8" ht="15.75">
      <c r="A968" s="37" t="s">
        <v>75</v>
      </c>
      <c r="B968" s="32" t="s">
        <v>606</v>
      </c>
      <c r="C968" s="33" t="s">
        <v>440</v>
      </c>
      <c r="D968" s="34" t="s">
        <v>643</v>
      </c>
      <c r="E968" s="34">
        <v>610</v>
      </c>
      <c r="F968" s="38">
        <v>500000</v>
      </c>
      <c r="G968" s="38">
        <v>0</v>
      </c>
      <c r="H968" s="36">
        <f t="shared" si="53"/>
        <v>500000</v>
      </c>
    </row>
    <row r="969" spans="1:8" ht="15.75">
      <c r="A969" s="37" t="s">
        <v>310</v>
      </c>
      <c r="B969" s="32" t="s">
        <v>606</v>
      </c>
      <c r="C969" s="33" t="s">
        <v>440</v>
      </c>
      <c r="D969" s="34" t="s">
        <v>643</v>
      </c>
      <c r="E969" s="34">
        <v>620</v>
      </c>
      <c r="F969" s="38">
        <v>200000</v>
      </c>
      <c r="G969" s="38">
        <v>-200000</v>
      </c>
      <c r="H969" s="36">
        <f t="shared" si="53"/>
        <v>0</v>
      </c>
    </row>
    <row r="970" spans="1:8" ht="15.75">
      <c r="A970" s="26" t="s">
        <v>644</v>
      </c>
      <c r="B970" s="27" t="s">
        <v>606</v>
      </c>
      <c r="C970" s="28" t="s">
        <v>342</v>
      </c>
      <c r="D970" s="34"/>
      <c r="E970" s="34"/>
      <c r="F970" s="45">
        <f>F971</f>
        <v>11796329</v>
      </c>
      <c r="G970" s="45">
        <f>G971</f>
        <v>-1734673.1999999993</v>
      </c>
      <c r="H970" s="30">
        <f t="shared" si="53"/>
        <v>10061655.8</v>
      </c>
    </row>
    <row r="971" spans="1:8" ht="31.5">
      <c r="A971" s="37" t="s">
        <v>335</v>
      </c>
      <c r="B971" s="32" t="s">
        <v>606</v>
      </c>
      <c r="C971" s="33" t="s">
        <v>342</v>
      </c>
      <c r="D971" s="34" t="s">
        <v>336</v>
      </c>
      <c r="E971" s="34"/>
      <c r="F971" s="38">
        <f>F972</f>
        <v>11796329</v>
      </c>
      <c r="G971" s="38">
        <f>G972</f>
        <v>-1734673.1999999993</v>
      </c>
      <c r="H971" s="36">
        <f t="shared" si="53"/>
        <v>10061655.8</v>
      </c>
    </row>
    <row r="972" spans="1:8" ht="31.5">
      <c r="A972" s="37" t="s">
        <v>343</v>
      </c>
      <c r="B972" s="32" t="s">
        <v>606</v>
      </c>
      <c r="C972" s="33" t="s">
        <v>342</v>
      </c>
      <c r="D972" s="34" t="s">
        <v>344</v>
      </c>
      <c r="E972" s="34"/>
      <c r="F972" s="38">
        <f>SUM(F973)</f>
        <v>11796329</v>
      </c>
      <c r="G972" s="38">
        <f>SUM(G973)</f>
        <v>-1734673.1999999993</v>
      </c>
      <c r="H972" s="36">
        <f t="shared" si="53"/>
        <v>10061655.8</v>
      </c>
    </row>
    <row r="973" spans="1:8" ht="31.5">
      <c r="A973" s="37" t="s">
        <v>645</v>
      </c>
      <c r="B973" s="32" t="s">
        <v>606</v>
      </c>
      <c r="C973" s="33" t="s">
        <v>342</v>
      </c>
      <c r="D973" s="34" t="s">
        <v>346</v>
      </c>
      <c r="E973" s="34"/>
      <c r="F973" s="38">
        <f>F974+F976</f>
        <v>11796329</v>
      </c>
      <c r="G973" s="38">
        <f>G974+G976</f>
        <v>-1734673.1999999993</v>
      </c>
      <c r="H973" s="36">
        <f t="shared" si="53"/>
        <v>10061655.8</v>
      </c>
    </row>
    <row r="974" spans="1:8" ht="31.5">
      <c r="A974" s="41" t="s">
        <v>28</v>
      </c>
      <c r="B974" s="32" t="s">
        <v>606</v>
      </c>
      <c r="C974" s="33" t="s">
        <v>342</v>
      </c>
      <c r="D974" s="34" t="s">
        <v>346</v>
      </c>
      <c r="E974" s="34">
        <v>200</v>
      </c>
      <c r="F974" s="38">
        <f>F975</f>
        <v>11796329</v>
      </c>
      <c r="G974" s="38">
        <f>G975</f>
        <v>-11652329</v>
      </c>
      <c r="H974" s="36">
        <f t="shared" si="53"/>
        <v>144000</v>
      </c>
    </row>
    <row r="975" spans="1:8" ht="31.5">
      <c r="A975" s="41" t="s">
        <v>30</v>
      </c>
      <c r="B975" s="32" t="s">
        <v>606</v>
      </c>
      <c r="C975" s="33" t="s">
        <v>342</v>
      </c>
      <c r="D975" s="34" t="s">
        <v>346</v>
      </c>
      <c r="E975" s="34">
        <v>240</v>
      </c>
      <c r="F975" s="38">
        <f>9500000+2296329</f>
        <v>11796329</v>
      </c>
      <c r="G975" s="38">
        <f>-11646329-6000</f>
        <v>-11652329</v>
      </c>
      <c r="H975" s="36">
        <f t="shared" si="53"/>
        <v>144000</v>
      </c>
    </row>
    <row r="976" spans="1:8" ht="31.5">
      <c r="A976" s="37" t="s">
        <v>74</v>
      </c>
      <c r="B976" s="32" t="s">
        <v>606</v>
      </c>
      <c r="C976" s="33" t="s">
        <v>342</v>
      </c>
      <c r="D976" s="34" t="s">
        <v>346</v>
      </c>
      <c r="E976" s="34">
        <v>600</v>
      </c>
      <c r="F976" s="38">
        <f>F977</f>
        <v>0</v>
      </c>
      <c r="G976" s="38">
        <f>G977</f>
        <v>9917655.8</v>
      </c>
      <c r="H976" s="36">
        <f t="shared" si="53"/>
        <v>9917655.8</v>
      </c>
    </row>
    <row r="977" spans="1:8" ht="15.75">
      <c r="A977" s="37" t="s">
        <v>75</v>
      </c>
      <c r="B977" s="32" t="s">
        <v>606</v>
      </c>
      <c r="C977" s="33" t="s">
        <v>342</v>
      </c>
      <c r="D977" s="34" t="s">
        <v>346</v>
      </c>
      <c r="E977" s="34">
        <v>610</v>
      </c>
      <c r="F977" s="38"/>
      <c r="G977" s="38">
        <f>10219225-301569.2</f>
        <v>9917655.8</v>
      </c>
      <c r="H977" s="36">
        <f t="shared" si="53"/>
        <v>9917655.8</v>
      </c>
    </row>
    <row r="978" spans="1:8" ht="15.75">
      <c r="A978" s="26" t="s">
        <v>646</v>
      </c>
      <c r="B978" s="27" t="s">
        <v>606</v>
      </c>
      <c r="C978" s="28" t="s">
        <v>647</v>
      </c>
      <c r="D978" s="34"/>
      <c r="E978" s="34"/>
      <c r="F978" s="45">
        <f>F979+F1016</f>
        <v>78870806.67</v>
      </c>
      <c r="G978" s="45">
        <f>G979+G1016</f>
        <v>6296563.33</v>
      </c>
      <c r="H978" s="30">
        <f t="shared" si="53"/>
        <v>85167370</v>
      </c>
    </row>
    <row r="979" spans="1:8" ht="31.5">
      <c r="A979" s="37" t="s">
        <v>335</v>
      </c>
      <c r="B979" s="32" t="s">
        <v>606</v>
      </c>
      <c r="C979" s="33" t="s">
        <v>647</v>
      </c>
      <c r="D979" s="34" t="s">
        <v>336</v>
      </c>
      <c r="E979" s="34"/>
      <c r="F979" s="38">
        <f>SUM(F984,F988,F995,F980)</f>
        <v>78786100</v>
      </c>
      <c r="G979" s="38">
        <f>SUM(G984,G988,G995,G980)</f>
        <v>6055770</v>
      </c>
      <c r="H979" s="36">
        <f t="shared" si="53"/>
        <v>84841870</v>
      </c>
    </row>
    <row r="980" spans="1:8" ht="31.5">
      <c r="A980" s="37" t="s">
        <v>337</v>
      </c>
      <c r="B980" s="32" t="s">
        <v>606</v>
      </c>
      <c r="C980" s="33" t="s">
        <v>647</v>
      </c>
      <c r="D980" s="34" t="s">
        <v>338</v>
      </c>
      <c r="E980" s="34"/>
      <c r="F980" s="38">
        <f aca="true" t="shared" si="55" ref="F980:G982">F981</f>
        <v>0</v>
      </c>
      <c r="G980" s="38">
        <f t="shared" si="55"/>
        <v>2695770</v>
      </c>
      <c r="H980" s="36">
        <f t="shared" si="53"/>
        <v>2695770</v>
      </c>
    </row>
    <row r="981" spans="1:8" ht="94.5">
      <c r="A981" s="37" t="s">
        <v>648</v>
      </c>
      <c r="B981" s="32" t="s">
        <v>606</v>
      </c>
      <c r="C981" s="33" t="s">
        <v>647</v>
      </c>
      <c r="D981" s="34" t="s">
        <v>649</v>
      </c>
      <c r="E981" s="34"/>
      <c r="F981" s="38">
        <f t="shared" si="55"/>
        <v>0</v>
      </c>
      <c r="G981" s="38">
        <f t="shared" si="55"/>
        <v>2695770</v>
      </c>
      <c r="H981" s="36">
        <f t="shared" si="53"/>
        <v>2695770</v>
      </c>
    </row>
    <row r="982" spans="1:8" ht="31.5">
      <c r="A982" s="37" t="s">
        <v>74</v>
      </c>
      <c r="B982" s="32" t="s">
        <v>606</v>
      </c>
      <c r="C982" s="33" t="s">
        <v>647</v>
      </c>
      <c r="D982" s="34" t="s">
        <v>649</v>
      </c>
      <c r="E982" s="34">
        <v>600</v>
      </c>
      <c r="F982" s="38">
        <f t="shared" si="55"/>
        <v>0</v>
      </c>
      <c r="G982" s="38">
        <f t="shared" si="55"/>
        <v>2695770</v>
      </c>
      <c r="H982" s="36">
        <f t="shared" si="53"/>
        <v>2695770</v>
      </c>
    </row>
    <row r="983" spans="1:8" ht="15.75">
      <c r="A983" s="37" t="s">
        <v>75</v>
      </c>
      <c r="B983" s="32" t="s">
        <v>606</v>
      </c>
      <c r="C983" s="33" t="s">
        <v>647</v>
      </c>
      <c r="D983" s="34" t="s">
        <v>649</v>
      </c>
      <c r="E983" s="34">
        <v>610</v>
      </c>
      <c r="F983" s="38">
        <v>0</v>
      </c>
      <c r="G983" s="38">
        <v>2695770</v>
      </c>
      <c r="H983" s="36">
        <f t="shared" si="53"/>
        <v>2695770</v>
      </c>
    </row>
    <row r="984" spans="1:8" ht="31.5">
      <c r="A984" s="37" t="s">
        <v>343</v>
      </c>
      <c r="B984" s="32" t="s">
        <v>606</v>
      </c>
      <c r="C984" s="33" t="s">
        <v>647</v>
      </c>
      <c r="D984" s="34" t="s">
        <v>344</v>
      </c>
      <c r="E984" s="34"/>
      <c r="F984" s="38">
        <f aca="true" t="shared" si="56" ref="F984:G986">F985</f>
        <v>2550000</v>
      </c>
      <c r="G984" s="38">
        <f t="shared" si="56"/>
        <v>0</v>
      </c>
      <c r="H984" s="36">
        <f t="shared" si="53"/>
        <v>2550000</v>
      </c>
    </row>
    <row r="985" spans="1:8" ht="31.5">
      <c r="A985" s="37" t="s">
        <v>650</v>
      </c>
      <c r="B985" s="32" t="s">
        <v>606</v>
      </c>
      <c r="C985" s="33" t="s">
        <v>647</v>
      </c>
      <c r="D985" s="34" t="s">
        <v>651</v>
      </c>
      <c r="E985" s="34"/>
      <c r="F985" s="38">
        <f t="shared" si="56"/>
        <v>2550000</v>
      </c>
      <c r="G985" s="38">
        <f t="shared" si="56"/>
        <v>0</v>
      </c>
      <c r="H985" s="36">
        <f t="shared" si="53"/>
        <v>2550000</v>
      </c>
    </row>
    <row r="986" spans="1:8" ht="31.5">
      <c r="A986" s="37" t="s">
        <v>74</v>
      </c>
      <c r="B986" s="32" t="s">
        <v>606</v>
      </c>
      <c r="C986" s="33" t="s">
        <v>647</v>
      </c>
      <c r="D986" s="34" t="s">
        <v>651</v>
      </c>
      <c r="E986" s="34">
        <v>600</v>
      </c>
      <c r="F986" s="42">
        <f t="shared" si="56"/>
        <v>2550000</v>
      </c>
      <c r="G986" s="42">
        <f t="shared" si="56"/>
        <v>0</v>
      </c>
      <c r="H986" s="36">
        <f t="shared" si="53"/>
        <v>2550000</v>
      </c>
    </row>
    <row r="987" spans="1:8" ht="15.75">
      <c r="A987" s="37" t="s">
        <v>75</v>
      </c>
      <c r="B987" s="32" t="s">
        <v>606</v>
      </c>
      <c r="C987" s="33" t="s">
        <v>647</v>
      </c>
      <c r="D987" s="34" t="s">
        <v>651</v>
      </c>
      <c r="E987" s="34">
        <v>610</v>
      </c>
      <c r="F987" s="42">
        <v>2550000</v>
      </c>
      <c r="G987" s="42">
        <v>0</v>
      </c>
      <c r="H987" s="36">
        <f aca="true" t="shared" si="57" ref="H987:H1050">SUM(F987:G987)</f>
        <v>2550000</v>
      </c>
    </row>
    <row r="988" spans="1:8" ht="47.25">
      <c r="A988" s="51" t="s">
        <v>652</v>
      </c>
      <c r="B988" s="32" t="s">
        <v>606</v>
      </c>
      <c r="C988" s="33" t="s">
        <v>647</v>
      </c>
      <c r="D988" s="34" t="s">
        <v>653</v>
      </c>
      <c r="E988" s="34"/>
      <c r="F988" s="38">
        <f>SUM(F989,F992)</f>
        <v>10550000</v>
      </c>
      <c r="G988" s="38">
        <f>SUM(G989,G992)</f>
        <v>67000</v>
      </c>
      <c r="H988" s="36">
        <f t="shared" si="57"/>
        <v>10617000</v>
      </c>
    </row>
    <row r="989" spans="1:8" ht="47.25">
      <c r="A989" s="51" t="s">
        <v>654</v>
      </c>
      <c r="B989" s="32" t="s">
        <v>606</v>
      </c>
      <c r="C989" s="33" t="s">
        <v>647</v>
      </c>
      <c r="D989" s="34" t="s">
        <v>655</v>
      </c>
      <c r="E989" s="34"/>
      <c r="F989" s="42">
        <f>F990</f>
        <v>10500000</v>
      </c>
      <c r="G989" s="42">
        <f>G990</f>
        <v>67000</v>
      </c>
      <c r="H989" s="36">
        <f t="shared" si="57"/>
        <v>10567000</v>
      </c>
    </row>
    <row r="990" spans="1:8" ht="31.5">
      <c r="A990" s="37" t="s">
        <v>74</v>
      </c>
      <c r="B990" s="32" t="s">
        <v>606</v>
      </c>
      <c r="C990" s="33" t="s">
        <v>647</v>
      </c>
      <c r="D990" s="34" t="s">
        <v>655</v>
      </c>
      <c r="E990" s="34">
        <v>600</v>
      </c>
      <c r="F990" s="42">
        <f>F991</f>
        <v>10500000</v>
      </c>
      <c r="G990" s="42">
        <f>G991</f>
        <v>67000</v>
      </c>
      <c r="H990" s="36">
        <f t="shared" si="57"/>
        <v>10567000</v>
      </c>
    </row>
    <row r="991" spans="1:8" ht="15.75">
      <c r="A991" s="37" t="s">
        <v>75</v>
      </c>
      <c r="B991" s="32" t="s">
        <v>606</v>
      </c>
      <c r="C991" s="33" t="s">
        <v>647</v>
      </c>
      <c r="D991" s="34" t="s">
        <v>655</v>
      </c>
      <c r="E991" s="34">
        <v>610</v>
      </c>
      <c r="F991" s="42">
        <v>10500000</v>
      </c>
      <c r="G991" s="42">
        <v>67000</v>
      </c>
      <c r="H991" s="36">
        <f t="shared" si="57"/>
        <v>10567000</v>
      </c>
    </row>
    <row r="992" spans="1:8" ht="31.5">
      <c r="A992" s="51" t="s">
        <v>656</v>
      </c>
      <c r="B992" s="32" t="s">
        <v>606</v>
      </c>
      <c r="C992" s="33" t="s">
        <v>647</v>
      </c>
      <c r="D992" s="34" t="s">
        <v>657</v>
      </c>
      <c r="E992" s="34"/>
      <c r="F992" s="42">
        <f>F993</f>
        <v>50000</v>
      </c>
      <c r="G992" s="42">
        <f>G993</f>
        <v>0</v>
      </c>
      <c r="H992" s="36">
        <f t="shared" si="57"/>
        <v>50000</v>
      </c>
    </row>
    <row r="993" spans="1:8" ht="31.5">
      <c r="A993" s="37" t="s">
        <v>74</v>
      </c>
      <c r="B993" s="32" t="s">
        <v>606</v>
      </c>
      <c r="C993" s="33" t="s">
        <v>647</v>
      </c>
      <c r="D993" s="34" t="s">
        <v>657</v>
      </c>
      <c r="E993" s="34">
        <v>600</v>
      </c>
      <c r="F993" s="42">
        <f>F994</f>
        <v>50000</v>
      </c>
      <c r="G993" s="42">
        <f>G994</f>
        <v>0</v>
      </c>
      <c r="H993" s="36">
        <f t="shared" si="57"/>
        <v>50000</v>
      </c>
    </row>
    <row r="994" spans="1:8" ht="15.75">
      <c r="A994" s="37" t="s">
        <v>75</v>
      </c>
      <c r="B994" s="32" t="s">
        <v>606</v>
      </c>
      <c r="C994" s="33" t="s">
        <v>647</v>
      </c>
      <c r="D994" s="34" t="s">
        <v>657</v>
      </c>
      <c r="E994" s="34">
        <v>610</v>
      </c>
      <c r="F994" s="42">
        <v>50000</v>
      </c>
      <c r="G994" s="42">
        <v>0</v>
      </c>
      <c r="H994" s="36">
        <f t="shared" si="57"/>
        <v>50000</v>
      </c>
    </row>
    <row r="995" spans="1:8" ht="31.5">
      <c r="A995" s="51" t="s">
        <v>658</v>
      </c>
      <c r="B995" s="32" t="s">
        <v>606</v>
      </c>
      <c r="C995" s="33" t="s">
        <v>647</v>
      </c>
      <c r="D995" s="34" t="s">
        <v>659</v>
      </c>
      <c r="E995" s="34"/>
      <c r="F995" s="38">
        <f>SUM(F996,F1003,F1010,F1013)</f>
        <v>65686100</v>
      </c>
      <c r="G995" s="38">
        <f>SUM(G996,G1003,G1010,G1013)</f>
        <v>3293000</v>
      </c>
      <c r="H995" s="36">
        <f t="shared" si="57"/>
        <v>68979100</v>
      </c>
    </row>
    <row r="996" spans="1:8" ht="31.5">
      <c r="A996" s="51" t="s">
        <v>660</v>
      </c>
      <c r="B996" s="32" t="s">
        <v>606</v>
      </c>
      <c r="C996" s="33" t="s">
        <v>647</v>
      </c>
      <c r="D996" s="34" t="s">
        <v>661</v>
      </c>
      <c r="E996" s="34"/>
      <c r="F996" s="42">
        <f>SUM(F997,F999,F1001)</f>
        <v>11761100</v>
      </c>
      <c r="G996" s="42">
        <f>SUM(G997,G999,G1001)</f>
        <v>1580000</v>
      </c>
      <c r="H996" s="36">
        <f t="shared" si="57"/>
        <v>13341100</v>
      </c>
    </row>
    <row r="997" spans="1:8" ht="78.75">
      <c r="A997" s="40" t="s">
        <v>22</v>
      </c>
      <c r="B997" s="32" t="s">
        <v>606</v>
      </c>
      <c r="C997" s="33" t="s">
        <v>647</v>
      </c>
      <c r="D997" s="34" t="s">
        <v>661</v>
      </c>
      <c r="E997" s="33" t="s">
        <v>23</v>
      </c>
      <c r="F997" s="42">
        <f>F998</f>
        <v>11221100</v>
      </c>
      <c r="G997" s="42">
        <f>G998</f>
        <v>1500000</v>
      </c>
      <c r="H997" s="36">
        <f t="shared" si="57"/>
        <v>12721100</v>
      </c>
    </row>
    <row r="998" spans="1:8" ht="31.5">
      <c r="A998" s="40" t="s">
        <v>24</v>
      </c>
      <c r="B998" s="32" t="s">
        <v>606</v>
      </c>
      <c r="C998" s="33" t="s">
        <v>647</v>
      </c>
      <c r="D998" s="34" t="s">
        <v>661</v>
      </c>
      <c r="E998" s="33" t="s">
        <v>25</v>
      </c>
      <c r="F998" s="42">
        <v>11221100</v>
      </c>
      <c r="G998" s="42">
        <v>1500000</v>
      </c>
      <c r="H998" s="36">
        <f t="shared" si="57"/>
        <v>12721100</v>
      </c>
    </row>
    <row r="999" spans="1:8" ht="31.5">
      <c r="A999" s="41" t="s">
        <v>28</v>
      </c>
      <c r="B999" s="32" t="s">
        <v>606</v>
      </c>
      <c r="C999" s="33" t="s">
        <v>647</v>
      </c>
      <c r="D999" s="34" t="s">
        <v>661</v>
      </c>
      <c r="E999" s="33" t="s">
        <v>29</v>
      </c>
      <c r="F999" s="42">
        <f>F1000</f>
        <v>530000</v>
      </c>
      <c r="G999" s="42">
        <f>G1000</f>
        <v>80000</v>
      </c>
      <c r="H999" s="36">
        <f t="shared" si="57"/>
        <v>610000</v>
      </c>
    </row>
    <row r="1000" spans="1:8" ht="31.5">
      <c r="A1000" s="41" t="s">
        <v>30</v>
      </c>
      <c r="B1000" s="32" t="s">
        <v>606</v>
      </c>
      <c r="C1000" s="33" t="s">
        <v>647</v>
      </c>
      <c r="D1000" s="34" t="s">
        <v>661</v>
      </c>
      <c r="E1000" s="33" t="s">
        <v>31</v>
      </c>
      <c r="F1000" s="42">
        <v>530000</v>
      </c>
      <c r="G1000" s="42">
        <f>80000</f>
        <v>80000</v>
      </c>
      <c r="H1000" s="36">
        <f t="shared" si="57"/>
        <v>610000</v>
      </c>
    </row>
    <row r="1001" spans="1:8" ht="15.75">
      <c r="A1001" s="41" t="s">
        <v>36</v>
      </c>
      <c r="B1001" s="32" t="s">
        <v>606</v>
      </c>
      <c r="C1001" s="33" t="s">
        <v>647</v>
      </c>
      <c r="D1001" s="34" t="s">
        <v>661</v>
      </c>
      <c r="E1001" s="33" t="s">
        <v>37</v>
      </c>
      <c r="F1001" s="42">
        <f>F1002</f>
        <v>10000</v>
      </c>
      <c r="G1001" s="42">
        <f>G1002</f>
        <v>0</v>
      </c>
      <c r="H1001" s="36">
        <f t="shared" si="57"/>
        <v>10000</v>
      </c>
    </row>
    <row r="1002" spans="1:8" ht="15.75">
      <c r="A1002" s="41" t="s">
        <v>38</v>
      </c>
      <c r="B1002" s="32" t="s">
        <v>606</v>
      </c>
      <c r="C1002" s="33" t="s">
        <v>647</v>
      </c>
      <c r="D1002" s="34" t="s">
        <v>661</v>
      </c>
      <c r="E1002" s="33" t="s">
        <v>39</v>
      </c>
      <c r="F1002" s="42">
        <v>10000</v>
      </c>
      <c r="G1002" s="42">
        <v>0</v>
      </c>
      <c r="H1002" s="36">
        <f t="shared" si="57"/>
        <v>10000</v>
      </c>
    </row>
    <row r="1003" spans="1:8" ht="31.5">
      <c r="A1003" s="51" t="s">
        <v>662</v>
      </c>
      <c r="B1003" s="32" t="s">
        <v>606</v>
      </c>
      <c r="C1003" s="33" t="s">
        <v>647</v>
      </c>
      <c r="D1003" s="34" t="s">
        <v>663</v>
      </c>
      <c r="E1003" s="34"/>
      <c r="F1003" s="42">
        <f>SUM(F1004,F1006,F1008)</f>
        <v>52425000</v>
      </c>
      <c r="G1003" s="42">
        <f>SUM(G1004,G1006,G1008)</f>
        <v>1713000</v>
      </c>
      <c r="H1003" s="36">
        <f t="shared" si="57"/>
        <v>54138000</v>
      </c>
    </row>
    <row r="1004" spans="1:8" ht="78.75">
      <c r="A1004" s="40" t="s">
        <v>22</v>
      </c>
      <c r="B1004" s="32" t="s">
        <v>606</v>
      </c>
      <c r="C1004" s="33" t="s">
        <v>647</v>
      </c>
      <c r="D1004" s="34" t="s">
        <v>663</v>
      </c>
      <c r="E1004" s="34">
        <v>100</v>
      </c>
      <c r="F1004" s="42">
        <f>F1005</f>
        <v>47000000</v>
      </c>
      <c r="G1004" s="42">
        <f>G1005</f>
        <v>1780000</v>
      </c>
      <c r="H1004" s="36">
        <f t="shared" si="57"/>
        <v>48780000</v>
      </c>
    </row>
    <row r="1005" spans="1:8" ht="15.75">
      <c r="A1005" s="40" t="s">
        <v>69</v>
      </c>
      <c r="B1005" s="32" t="s">
        <v>606</v>
      </c>
      <c r="C1005" s="33" t="s">
        <v>647</v>
      </c>
      <c r="D1005" s="34" t="s">
        <v>663</v>
      </c>
      <c r="E1005" s="34">
        <v>110</v>
      </c>
      <c r="F1005" s="42">
        <v>47000000</v>
      </c>
      <c r="G1005" s="42">
        <v>1780000</v>
      </c>
      <c r="H1005" s="36">
        <f t="shared" si="57"/>
        <v>48780000</v>
      </c>
    </row>
    <row r="1006" spans="1:8" ht="31.5">
      <c r="A1006" s="41" t="s">
        <v>28</v>
      </c>
      <c r="B1006" s="32" t="s">
        <v>606</v>
      </c>
      <c r="C1006" s="33" t="s">
        <v>647</v>
      </c>
      <c r="D1006" s="34" t="s">
        <v>663</v>
      </c>
      <c r="E1006" s="34">
        <v>200</v>
      </c>
      <c r="F1006" s="42">
        <f>F1007</f>
        <v>5400000</v>
      </c>
      <c r="G1006" s="42">
        <f>G1007</f>
        <v>-67000</v>
      </c>
      <c r="H1006" s="36">
        <f t="shared" si="57"/>
        <v>5333000</v>
      </c>
    </row>
    <row r="1007" spans="1:8" ht="31.5">
      <c r="A1007" s="41" t="s">
        <v>30</v>
      </c>
      <c r="B1007" s="32" t="s">
        <v>606</v>
      </c>
      <c r="C1007" s="33" t="s">
        <v>647</v>
      </c>
      <c r="D1007" s="34" t="s">
        <v>663</v>
      </c>
      <c r="E1007" s="34">
        <v>240</v>
      </c>
      <c r="F1007" s="42">
        <v>5400000</v>
      </c>
      <c r="G1007" s="42">
        <v>-67000</v>
      </c>
      <c r="H1007" s="36">
        <f t="shared" si="57"/>
        <v>5333000</v>
      </c>
    </row>
    <row r="1008" spans="1:8" ht="15.75">
      <c r="A1008" s="41" t="s">
        <v>36</v>
      </c>
      <c r="B1008" s="32" t="s">
        <v>606</v>
      </c>
      <c r="C1008" s="33" t="s">
        <v>647</v>
      </c>
      <c r="D1008" s="34" t="s">
        <v>663</v>
      </c>
      <c r="E1008" s="34">
        <v>800</v>
      </c>
      <c r="F1008" s="42">
        <f>F1009</f>
        <v>25000</v>
      </c>
      <c r="G1008" s="42">
        <f>G1009</f>
        <v>0</v>
      </c>
      <c r="H1008" s="36">
        <f t="shared" si="57"/>
        <v>25000</v>
      </c>
    </row>
    <row r="1009" spans="1:8" ht="15.75">
      <c r="A1009" s="41" t="s">
        <v>38</v>
      </c>
      <c r="B1009" s="32" t="s">
        <v>606</v>
      </c>
      <c r="C1009" s="33" t="s">
        <v>647</v>
      </c>
      <c r="D1009" s="34" t="s">
        <v>663</v>
      </c>
      <c r="E1009" s="34">
        <v>850</v>
      </c>
      <c r="F1009" s="80">
        <v>25000</v>
      </c>
      <c r="G1009" s="80">
        <v>0</v>
      </c>
      <c r="H1009" s="36">
        <f t="shared" si="57"/>
        <v>25000</v>
      </c>
    </row>
    <row r="1010" spans="1:8" ht="31.5">
      <c r="A1010" s="51" t="s">
        <v>664</v>
      </c>
      <c r="B1010" s="32" t="s">
        <v>606</v>
      </c>
      <c r="C1010" s="33" t="s">
        <v>647</v>
      </c>
      <c r="D1010" s="34" t="s">
        <v>665</v>
      </c>
      <c r="E1010" s="34"/>
      <c r="F1010" s="42">
        <f>F1011</f>
        <v>1200000</v>
      </c>
      <c r="G1010" s="42">
        <f>G1011</f>
        <v>-360000</v>
      </c>
      <c r="H1010" s="36">
        <f t="shared" si="57"/>
        <v>840000</v>
      </c>
    </row>
    <row r="1011" spans="1:8" ht="15.75">
      <c r="A1011" s="37" t="s">
        <v>223</v>
      </c>
      <c r="B1011" s="32" t="s">
        <v>606</v>
      </c>
      <c r="C1011" s="33" t="s">
        <v>647</v>
      </c>
      <c r="D1011" s="34" t="s">
        <v>665</v>
      </c>
      <c r="E1011" s="34">
        <v>300</v>
      </c>
      <c r="F1011" s="38">
        <f>F1012</f>
        <v>1200000</v>
      </c>
      <c r="G1011" s="38">
        <f>G1012</f>
        <v>-360000</v>
      </c>
      <c r="H1011" s="36">
        <f t="shared" si="57"/>
        <v>840000</v>
      </c>
    </row>
    <row r="1012" spans="1:8" ht="31.5">
      <c r="A1012" s="37" t="s">
        <v>666</v>
      </c>
      <c r="B1012" s="32" t="s">
        <v>606</v>
      </c>
      <c r="C1012" s="33" t="s">
        <v>647</v>
      </c>
      <c r="D1012" s="34" t="s">
        <v>665</v>
      </c>
      <c r="E1012" s="34">
        <v>330</v>
      </c>
      <c r="F1012" s="42">
        <f>900000+300000</f>
        <v>1200000</v>
      </c>
      <c r="G1012" s="42">
        <v>-360000</v>
      </c>
      <c r="H1012" s="36">
        <f t="shared" si="57"/>
        <v>840000</v>
      </c>
    </row>
    <row r="1013" spans="1:8" ht="15.75">
      <c r="A1013" s="37" t="s">
        <v>667</v>
      </c>
      <c r="B1013" s="32" t="s">
        <v>606</v>
      </c>
      <c r="C1013" s="33" t="s">
        <v>647</v>
      </c>
      <c r="D1013" s="34" t="s">
        <v>668</v>
      </c>
      <c r="E1013" s="34"/>
      <c r="F1013" s="42">
        <f>F1014</f>
        <v>300000</v>
      </c>
      <c r="G1013" s="42">
        <f>G1014</f>
        <v>360000</v>
      </c>
      <c r="H1013" s="36">
        <f t="shared" si="57"/>
        <v>660000</v>
      </c>
    </row>
    <row r="1014" spans="1:8" ht="31.5">
      <c r="A1014" s="37" t="s">
        <v>74</v>
      </c>
      <c r="B1014" s="32" t="s">
        <v>606</v>
      </c>
      <c r="C1014" s="33" t="s">
        <v>647</v>
      </c>
      <c r="D1014" s="34" t="s">
        <v>668</v>
      </c>
      <c r="E1014" s="34">
        <v>600</v>
      </c>
      <c r="F1014" s="42">
        <f>F1015</f>
        <v>300000</v>
      </c>
      <c r="G1014" s="42">
        <f>G1015</f>
        <v>360000</v>
      </c>
      <c r="H1014" s="36">
        <f t="shared" si="57"/>
        <v>660000</v>
      </c>
    </row>
    <row r="1015" spans="1:8" ht="15.75">
      <c r="A1015" s="37" t="s">
        <v>75</v>
      </c>
      <c r="B1015" s="32" t="s">
        <v>606</v>
      </c>
      <c r="C1015" s="33" t="s">
        <v>647</v>
      </c>
      <c r="D1015" s="34" t="s">
        <v>668</v>
      </c>
      <c r="E1015" s="34">
        <v>610</v>
      </c>
      <c r="F1015" s="42">
        <v>300000</v>
      </c>
      <c r="G1015" s="42">
        <v>360000</v>
      </c>
      <c r="H1015" s="36">
        <f t="shared" si="57"/>
        <v>660000</v>
      </c>
    </row>
    <row r="1016" spans="1:8" ht="15.75">
      <c r="A1016" s="31" t="s">
        <v>16</v>
      </c>
      <c r="B1016" s="32" t="s">
        <v>606</v>
      </c>
      <c r="C1016" s="33" t="s">
        <v>647</v>
      </c>
      <c r="D1016" s="34" t="s">
        <v>17</v>
      </c>
      <c r="E1016" s="34"/>
      <c r="F1016" s="42">
        <f>F1021+F1017</f>
        <v>84706.67</v>
      </c>
      <c r="G1016" s="42">
        <f>G1021+G1017</f>
        <v>240793.33000000002</v>
      </c>
      <c r="H1016" s="36">
        <f t="shared" si="57"/>
        <v>325500</v>
      </c>
    </row>
    <row r="1017" spans="1:8" ht="31.5">
      <c r="A1017" s="31" t="s">
        <v>18</v>
      </c>
      <c r="B1017" s="32" t="s">
        <v>606</v>
      </c>
      <c r="C1017" s="33" t="s">
        <v>647</v>
      </c>
      <c r="D1017" s="34" t="s">
        <v>19</v>
      </c>
      <c r="E1017" s="34"/>
      <c r="F1017" s="42">
        <f aca="true" t="shared" si="58" ref="F1017:G1019">F1018</f>
        <v>0</v>
      </c>
      <c r="G1017" s="42">
        <f t="shared" si="58"/>
        <v>325500</v>
      </c>
      <c r="H1017" s="36">
        <f t="shared" si="57"/>
        <v>325500</v>
      </c>
    </row>
    <row r="1018" spans="1:8" ht="29.25" customHeight="1">
      <c r="A1018" s="31" t="s">
        <v>40</v>
      </c>
      <c r="B1018" s="32" t="s">
        <v>606</v>
      </c>
      <c r="C1018" s="33" t="s">
        <v>647</v>
      </c>
      <c r="D1018" s="34" t="s">
        <v>41</v>
      </c>
      <c r="E1018" s="34"/>
      <c r="F1018" s="42">
        <f t="shared" si="58"/>
        <v>0</v>
      </c>
      <c r="G1018" s="42">
        <f t="shared" si="58"/>
        <v>325500</v>
      </c>
      <c r="H1018" s="36">
        <f t="shared" si="57"/>
        <v>325500</v>
      </c>
    </row>
    <row r="1019" spans="1:8" ht="78.75">
      <c r="A1019" s="40" t="s">
        <v>22</v>
      </c>
      <c r="B1019" s="32" t="s">
        <v>606</v>
      </c>
      <c r="C1019" s="33" t="s">
        <v>647</v>
      </c>
      <c r="D1019" s="34" t="s">
        <v>41</v>
      </c>
      <c r="E1019" s="34">
        <v>100</v>
      </c>
      <c r="F1019" s="42">
        <f t="shared" si="58"/>
        <v>0</v>
      </c>
      <c r="G1019" s="42">
        <f t="shared" si="58"/>
        <v>325500</v>
      </c>
      <c r="H1019" s="36">
        <f t="shared" si="57"/>
        <v>325500</v>
      </c>
    </row>
    <row r="1020" spans="1:8" ht="31.5">
      <c r="A1020" s="40" t="s">
        <v>24</v>
      </c>
      <c r="B1020" s="32" t="s">
        <v>606</v>
      </c>
      <c r="C1020" s="33" t="s">
        <v>647</v>
      </c>
      <c r="D1020" s="34" t="s">
        <v>41</v>
      </c>
      <c r="E1020" s="34">
        <v>120</v>
      </c>
      <c r="F1020" s="42">
        <v>0</v>
      </c>
      <c r="G1020" s="42">
        <v>325500</v>
      </c>
      <c r="H1020" s="36">
        <f t="shared" si="57"/>
        <v>325500</v>
      </c>
    </row>
    <row r="1021" spans="1:8" ht="47.25">
      <c r="A1021" s="37" t="s">
        <v>44</v>
      </c>
      <c r="B1021" s="32" t="s">
        <v>606</v>
      </c>
      <c r="C1021" s="33" t="s">
        <v>647</v>
      </c>
      <c r="D1021" s="34" t="s">
        <v>45</v>
      </c>
      <c r="E1021" s="34"/>
      <c r="F1021" s="38">
        <f aca="true" t="shared" si="59" ref="F1021:G1023">F1022</f>
        <v>84706.67</v>
      </c>
      <c r="G1021" s="38">
        <f t="shared" si="59"/>
        <v>-84706.67</v>
      </c>
      <c r="H1021" s="36">
        <f t="shared" si="57"/>
        <v>0</v>
      </c>
    </row>
    <row r="1022" spans="1:8" ht="47.25">
      <c r="A1022" s="41" t="s">
        <v>221</v>
      </c>
      <c r="B1022" s="32" t="s">
        <v>606</v>
      </c>
      <c r="C1022" s="33" t="s">
        <v>647</v>
      </c>
      <c r="D1022" s="34" t="s">
        <v>669</v>
      </c>
      <c r="E1022" s="34"/>
      <c r="F1022" s="38">
        <f t="shared" si="59"/>
        <v>84706.67</v>
      </c>
      <c r="G1022" s="38">
        <f t="shared" si="59"/>
        <v>-84706.67</v>
      </c>
      <c r="H1022" s="36">
        <f t="shared" si="57"/>
        <v>0</v>
      </c>
    </row>
    <row r="1023" spans="1:8" ht="31.5">
      <c r="A1023" s="41" t="s">
        <v>28</v>
      </c>
      <c r="B1023" s="32" t="s">
        <v>606</v>
      </c>
      <c r="C1023" s="33" t="s">
        <v>647</v>
      </c>
      <c r="D1023" s="34" t="s">
        <v>669</v>
      </c>
      <c r="E1023" s="34">
        <v>200</v>
      </c>
      <c r="F1023" s="38">
        <f t="shared" si="59"/>
        <v>84706.67</v>
      </c>
      <c r="G1023" s="38">
        <f t="shared" si="59"/>
        <v>-84706.67</v>
      </c>
      <c r="H1023" s="36">
        <f t="shared" si="57"/>
        <v>0</v>
      </c>
    </row>
    <row r="1024" spans="1:8" ht="31.5">
      <c r="A1024" s="41" t="s">
        <v>30</v>
      </c>
      <c r="B1024" s="32" t="s">
        <v>606</v>
      </c>
      <c r="C1024" s="33" t="s">
        <v>647</v>
      </c>
      <c r="D1024" s="34" t="s">
        <v>669</v>
      </c>
      <c r="E1024" s="34">
        <v>240</v>
      </c>
      <c r="F1024" s="42">
        <f>8470.67+76236</f>
        <v>84706.67</v>
      </c>
      <c r="G1024" s="42">
        <v>-84706.67</v>
      </c>
      <c r="H1024" s="36">
        <f t="shared" si="57"/>
        <v>0</v>
      </c>
    </row>
    <row r="1025" spans="1:8" ht="15.75">
      <c r="A1025" s="23" t="s">
        <v>359</v>
      </c>
      <c r="B1025" s="54" t="s">
        <v>606</v>
      </c>
      <c r="C1025" s="24" t="s">
        <v>360</v>
      </c>
      <c r="D1025" s="34"/>
      <c r="E1025" s="34"/>
      <c r="F1025" s="55">
        <f aca="true" t="shared" si="60" ref="F1025:G1028">F1026</f>
        <v>5386012</v>
      </c>
      <c r="G1025" s="55">
        <f t="shared" si="60"/>
        <v>-3686012</v>
      </c>
      <c r="H1025" s="21">
        <f t="shared" si="57"/>
        <v>1700000</v>
      </c>
    </row>
    <row r="1026" spans="1:8" ht="15.75">
      <c r="A1026" s="76" t="s">
        <v>558</v>
      </c>
      <c r="B1026" s="27" t="s">
        <v>606</v>
      </c>
      <c r="C1026" s="28" t="s">
        <v>559</v>
      </c>
      <c r="D1026" s="34"/>
      <c r="E1026" s="34"/>
      <c r="F1026" s="45">
        <f t="shared" si="60"/>
        <v>5386012</v>
      </c>
      <c r="G1026" s="45">
        <f t="shared" si="60"/>
        <v>-3686012</v>
      </c>
      <c r="H1026" s="30">
        <f t="shared" si="57"/>
        <v>1700000</v>
      </c>
    </row>
    <row r="1027" spans="1:8" ht="31.5">
      <c r="A1027" s="37" t="s">
        <v>670</v>
      </c>
      <c r="B1027" s="32" t="s">
        <v>606</v>
      </c>
      <c r="C1027" s="33" t="s">
        <v>559</v>
      </c>
      <c r="D1027" s="34" t="s">
        <v>336</v>
      </c>
      <c r="E1027" s="34"/>
      <c r="F1027" s="38">
        <f t="shared" si="60"/>
        <v>5386012</v>
      </c>
      <c r="G1027" s="38">
        <f t="shared" si="60"/>
        <v>-3686012</v>
      </c>
      <c r="H1027" s="36">
        <f t="shared" si="57"/>
        <v>1700000</v>
      </c>
    </row>
    <row r="1028" spans="1:8" ht="31.5">
      <c r="A1028" s="51" t="s">
        <v>658</v>
      </c>
      <c r="B1028" s="32" t="s">
        <v>606</v>
      </c>
      <c r="C1028" s="33" t="s">
        <v>559</v>
      </c>
      <c r="D1028" s="34" t="s">
        <v>659</v>
      </c>
      <c r="E1028" s="34"/>
      <c r="F1028" s="38">
        <f t="shared" si="60"/>
        <v>5386012</v>
      </c>
      <c r="G1028" s="38">
        <f t="shared" si="60"/>
        <v>-3686012</v>
      </c>
      <c r="H1028" s="36">
        <f t="shared" si="57"/>
        <v>1700000</v>
      </c>
    </row>
    <row r="1029" spans="1:8" ht="15.75">
      <c r="A1029" s="51" t="s">
        <v>671</v>
      </c>
      <c r="B1029" s="32" t="s">
        <v>606</v>
      </c>
      <c r="C1029" s="33" t="s">
        <v>559</v>
      </c>
      <c r="D1029" s="34" t="s">
        <v>672</v>
      </c>
      <c r="E1029" s="34"/>
      <c r="F1029" s="38">
        <f>SUM(F1030,F1032)</f>
        <v>5386012</v>
      </c>
      <c r="G1029" s="38">
        <f>SUM(G1030,G1032)</f>
        <v>-3686012</v>
      </c>
      <c r="H1029" s="36">
        <f t="shared" si="57"/>
        <v>1700000</v>
      </c>
    </row>
    <row r="1030" spans="1:8" ht="31.5">
      <c r="A1030" s="41" t="s">
        <v>28</v>
      </c>
      <c r="B1030" s="32" t="s">
        <v>606</v>
      </c>
      <c r="C1030" s="33" t="s">
        <v>559</v>
      </c>
      <c r="D1030" s="34" t="s">
        <v>672</v>
      </c>
      <c r="E1030" s="33" t="s">
        <v>29</v>
      </c>
      <c r="F1030" s="42">
        <f>F1031</f>
        <v>53327</v>
      </c>
      <c r="G1030" s="42">
        <f>G1031</f>
        <v>-36495</v>
      </c>
      <c r="H1030" s="36">
        <f t="shared" si="57"/>
        <v>16832</v>
      </c>
    </row>
    <row r="1031" spans="1:8" ht="31.5">
      <c r="A1031" s="41" t="s">
        <v>30</v>
      </c>
      <c r="B1031" s="32" t="s">
        <v>606</v>
      </c>
      <c r="C1031" s="33" t="s">
        <v>559</v>
      </c>
      <c r="D1031" s="34" t="s">
        <v>672</v>
      </c>
      <c r="E1031" s="33" t="s">
        <v>31</v>
      </c>
      <c r="F1031" s="42">
        <v>53327</v>
      </c>
      <c r="G1031" s="42">
        <v>-36495</v>
      </c>
      <c r="H1031" s="36">
        <f t="shared" si="57"/>
        <v>16832</v>
      </c>
    </row>
    <row r="1032" spans="1:8" ht="15.75">
      <c r="A1032" s="37" t="s">
        <v>223</v>
      </c>
      <c r="B1032" s="32" t="s">
        <v>606</v>
      </c>
      <c r="C1032" s="33" t="s">
        <v>559</v>
      </c>
      <c r="D1032" s="34" t="s">
        <v>672</v>
      </c>
      <c r="E1032" s="34">
        <v>300</v>
      </c>
      <c r="F1032" s="38">
        <f>F1033</f>
        <v>5332685</v>
      </c>
      <c r="G1032" s="38">
        <f>G1033</f>
        <v>-3649517</v>
      </c>
      <c r="H1032" s="36">
        <f t="shared" si="57"/>
        <v>1683168</v>
      </c>
    </row>
    <row r="1033" spans="1:8" ht="31.5">
      <c r="A1033" s="37" t="s">
        <v>514</v>
      </c>
      <c r="B1033" s="32" t="s">
        <v>606</v>
      </c>
      <c r="C1033" s="33" t="s">
        <v>559</v>
      </c>
      <c r="D1033" s="34" t="s">
        <v>672</v>
      </c>
      <c r="E1033" s="34">
        <v>320</v>
      </c>
      <c r="F1033" s="42">
        <v>5332685</v>
      </c>
      <c r="G1033" s="42">
        <v>-3649517</v>
      </c>
      <c r="H1033" s="36">
        <f t="shared" si="57"/>
        <v>1683168</v>
      </c>
    </row>
    <row r="1034" spans="1:8" ht="33">
      <c r="A1034" s="17" t="s">
        <v>673</v>
      </c>
      <c r="B1034" s="18" t="s">
        <v>674</v>
      </c>
      <c r="C1034" s="69"/>
      <c r="D1034" s="34"/>
      <c r="E1034" s="34"/>
      <c r="F1034" s="67">
        <f aca="true" t="shared" si="61" ref="F1034:G1038">F1035</f>
        <v>13862200</v>
      </c>
      <c r="G1034" s="67">
        <f t="shared" si="61"/>
        <v>0</v>
      </c>
      <c r="H1034" s="21">
        <f t="shared" si="57"/>
        <v>13862200</v>
      </c>
    </row>
    <row r="1035" spans="1:8" ht="15.75">
      <c r="A1035" s="23" t="s">
        <v>675</v>
      </c>
      <c r="B1035" s="54" t="s">
        <v>674</v>
      </c>
      <c r="C1035" s="24" t="s">
        <v>13</v>
      </c>
      <c r="D1035" s="34"/>
      <c r="E1035" s="34"/>
      <c r="F1035" s="55">
        <f t="shared" si="61"/>
        <v>13862200</v>
      </c>
      <c r="G1035" s="55">
        <f t="shared" si="61"/>
        <v>0</v>
      </c>
      <c r="H1035" s="21">
        <f t="shared" si="57"/>
        <v>13862200</v>
      </c>
    </row>
    <row r="1036" spans="1:8" ht="47.25">
      <c r="A1036" s="26" t="s">
        <v>424</v>
      </c>
      <c r="B1036" s="27" t="s">
        <v>674</v>
      </c>
      <c r="C1036" s="28" t="s">
        <v>425</v>
      </c>
      <c r="D1036" s="34"/>
      <c r="E1036" s="34"/>
      <c r="F1036" s="45">
        <f t="shared" si="61"/>
        <v>13862200</v>
      </c>
      <c r="G1036" s="45">
        <f t="shared" si="61"/>
        <v>0</v>
      </c>
      <c r="H1036" s="30">
        <f t="shared" si="57"/>
        <v>13862200</v>
      </c>
    </row>
    <row r="1037" spans="1:8" ht="15.75">
      <c r="A1037" s="31" t="s">
        <v>16</v>
      </c>
      <c r="B1037" s="32" t="s">
        <v>674</v>
      </c>
      <c r="C1037" s="33" t="s">
        <v>425</v>
      </c>
      <c r="D1037" s="34" t="s">
        <v>17</v>
      </c>
      <c r="E1037" s="34"/>
      <c r="F1037" s="38">
        <f t="shared" si="61"/>
        <v>13862200</v>
      </c>
      <c r="G1037" s="38">
        <f t="shared" si="61"/>
        <v>0</v>
      </c>
      <c r="H1037" s="36">
        <f t="shared" si="57"/>
        <v>13862200</v>
      </c>
    </row>
    <row r="1038" spans="1:8" ht="31.5">
      <c r="A1038" s="37" t="s">
        <v>18</v>
      </c>
      <c r="B1038" s="32" t="s">
        <v>674</v>
      </c>
      <c r="C1038" s="33" t="s">
        <v>425</v>
      </c>
      <c r="D1038" s="34" t="s">
        <v>19</v>
      </c>
      <c r="E1038" s="34"/>
      <c r="F1038" s="38">
        <f t="shared" si="61"/>
        <v>13862200</v>
      </c>
      <c r="G1038" s="38">
        <f t="shared" si="61"/>
        <v>0</v>
      </c>
      <c r="H1038" s="36">
        <f t="shared" si="57"/>
        <v>13862200</v>
      </c>
    </row>
    <row r="1039" spans="1:8" ht="31.5">
      <c r="A1039" s="37" t="s">
        <v>676</v>
      </c>
      <c r="B1039" s="32" t="s">
        <v>674</v>
      </c>
      <c r="C1039" s="33" t="s">
        <v>425</v>
      </c>
      <c r="D1039" s="34" t="s">
        <v>677</v>
      </c>
      <c r="E1039" s="34"/>
      <c r="F1039" s="38">
        <f>SUM(F1040,F1042,F1044)</f>
        <v>13862200</v>
      </c>
      <c r="G1039" s="38">
        <f>SUM(G1040,G1042,G1044)</f>
        <v>0</v>
      </c>
      <c r="H1039" s="36">
        <f t="shared" si="57"/>
        <v>13862200</v>
      </c>
    </row>
    <row r="1040" spans="1:8" ht="78.75">
      <c r="A1040" s="40" t="s">
        <v>22</v>
      </c>
      <c r="B1040" s="32" t="s">
        <v>674</v>
      </c>
      <c r="C1040" s="33" t="s">
        <v>425</v>
      </c>
      <c r="D1040" s="34" t="s">
        <v>677</v>
      </c>
      <c r="E1040" s="33" t="s">
        <v>23</v>
      </c>
      <c r="F1040" s="42">
        <f>F1041</f>
        <v>10944000</v>
      </c>
      <c r="G1040" s="42">
        <f>G1041</f>
        <v>0</v>
      </c>
      <c r="H1040" s="36">
        <f t="shared" si="57"/>
        <v>10944000</v>
      </c>
    </row>
    <row r="1041" spans="1:8" ht="31.5">
      <c r="A1041" s="40" t="s">
        <v>24</v>
      </c>
      <c r="B1041" s="32" t="s">
        <v>674</v>
      </c>
      <c r="C1041" s="33" t="s">
        <v>425</v>
      </c>
      <c r="D1041" s="34" t="s">
        <v>677</v>
      </c>
      <c r="E1041" s="33" t="s">
        <v>25</v>
      </c>
      <c r="F1041" s="42">
        <v>10944000</v>
      </c>
      <c r="G1041" s="42">
        <v>0</v>
      </c>
      <c r="H1041" s="36">
        <f t="shared" si="57"/>
        <v>10944000</v>
      </c>
    </row>
    <row r="1042" spans="1:8" ht="31.5">
      <c r="A1042" s="41" t="s">
        <v>28</v>
      </c>
      <c r="B1042" s="32" t="s">
        <v>674</v>
      </c>
      <c r="C1042" s="33" t="s">
        <v>425</v>
      </c>
      <c r="D1042" s="34" t="s">
        <v>677</v>
      </c>
      <c r="E1042" s="33" t="s">
        <v>29</v>
      </c>
      <c r="F1042" s="42">
        <f>F1043</f>
        <v>2868200</v>
      </c>
      <c r="G1042" s="42">
        <f>G1043</f>
        <v>0</v>
      </c>
      <c r="H1042" s="36">
        <f t="shared" si="57"/>
        <v>2868200</v>
      </c>
    </row>
    <row r="1043" spans="1:8" ht="31.5">
      <c r="A1043" s="41" t="s">
        <v>30</v>
      </c>
      <c r="B1043" s="32" t="s">
        <v>674</v>
      </c>
      <c r="C1043" s="33" t="s">
        <v>425</v>
      </c>
      <c r="D1043" s="34" t="s">
        <v>677</v>
      </c>
      <c r="E1043" s="33" t="s">
        <v>31</v>
      </c>
      <c r="F1043" s="42">
        <v>2868200</v>
      </c>
      <c r="G1043" s="42">
        <v>0</v>
      </c>
      <c r="H1043" s="36">
        <f t="shared" si="57"/>
        <v>2868200</v>
      </c>
    </row>
    <row r="1044" spans="1:8" ht="15.75">
      <c r="A1044" s="41" t="s">
        <v>36</v>
      </c>
      <c r="B1044" s="32" t="s">
        <v>674</v>
      </c>
      <c r="C1044" s="33" t="s">
        <v>425</v>
      </c>
      <c r="D1044" s="34" t="s">
        <v>677</v>
      </c>
      <c r="E1044" s="33" t="s">
        <v>37</v>
      </c>
      <c r="F1044" s="42">
        <f>F1045</f>
        <v>50000</v>
      </c>
      <c r="G1044" s="42">
        <f>G1045</f>
        <v>0</v>
      </c>
      <c r="H1044" s="36">
        <f t="shared" si="57"/>
        <v>50000</v>
      </c>
    </row>
    <row r="1045" spans="1:8" ht="15.75">
      <c r="A1045" s="41" t="s">
        <v>38</v>
      </c>
      <c r="B1045" s="32" t="s">
        <v>674</v>
      </c>
      <c r="C1045" s="33" t="s">
        <v>425</v>
      </c>
      <c r="D1045" s="34" t="s">
        <v>677</v>
      </c>
      <c r="E1045" s="33" t="s">
        <v>39</v>
      </c>
      <c r="F1045" s="42">
        <v>50000</v>
      </c>
      <c r="G1045" s="42">
        <v>0</v>
      </c>
      <c r="H1045" s="36">
        <f t="shared" si="57"/>
        <v>50000</v>
      </c>
    </row>
    <row r="1046" spans="1:8" ht="33">
      <c r="A1046" s="17" t="s">
        <v>678</v>
      </c>
      <c r="B1046" s="18" t="s">
        <v>679</v>
      </c>
      <c r="C1046" s="19"/>
      <c r="D1046" s="72"/>
      <c r="E1046" s="72"/>
      <c r="F1046" s="67">
        <f aca="true" t="shared" si="62" ref="F1046:G1050">F1047</f>
        <v>35604060</v>
      </c>
      <c r="G1046" s="67">
        <f t="shared" si="62"/>
        <v>0</v>
      </c>
      <c r="H1046" s="21">
        <f t="shared" si="57"/>
        <v>35604060</v>
      </c>
    </row>
    <row r="1047" spans="1:8" ht="15.75">
      <c r="A1047" s="23" t="s">
        <v>675</v>
      </c>
      <c r="B1047" s="54" t="s">
        <v>679</v>
      </c>
      <c r="C1047" s="24" t="s">
        <v>13</v>
      </c>
      <c r="D1047" s="34"/>
      <c r="E1047" s="34"/>
      <c r="F1047" s="55">
        <f t="shared" si="62"/>
        <v>35604060</v>
      </c>
      <c r="G1047" s="55">
        <f t="shared" si="62"/>
        <v>0</v>
      </c>
      <c r="H1047" s="21">
        <f t="shared" si="57"/>
        <v>35604060</v>
      </c>
    </row>
    <row r="1048" spans="1:8" ht="55.5" customHeight="1">
      <c r="A1048" s="26" t="s">
        <v>680</v>
      </c>
      <c r="B1048" s="27" t="s">
        <v>679</v>
      </c>
      <c r="C1048" s="28" t="s">
        <v>681</v>
      </c>
      <c r="D1048" s="34"/>
      <c r="E1048" s="34"/>
      <c r="F1048" s="45">
        <f t="shared" si="62"/>
        <v>35604060</v>
      </c>
      <c r="G1048" s="45">
        <f t="shared" si="62"/>
        <v>0</v>
      </c>
      <c r="H1048" s="30">
        <f t="shared" si="57"/>
        <v>35604060</v>
      </c>
    </row>
    <row r="1049" spans="1:8" ht="15.75">
      <c r="A1049" s="31" t="s">
        <v>16</v>
      </c>
      <c r="B1049" s="32" t="s">
        <v>679</v>
      </c>
      <c r="C1049" s="33" t="s">
        <v>681</v>
      </c>
      <c r="D1049" s="34" t="s">
        <v>17</v>
      </c>
      <c r="E1049" s="34"/>
      <c r="F1049" s="38">
        <f t="shared" si="62"/>
        <v>35604060</v>
      </c>
      <c r="G1049" s="38">
        <f t="shared" si="62"/>
        <v>0</v>
      </c>
      <c r="H1049" s="36">
        <f t="shared" si="57"/>
        <v>35604060</v>
      </c>
    </row>
    <row r="1050" spans="1:8" ht="31.5">
      <c r="A1050" s="37" t="s">
        <v>18</v>
      </c>
      <c r="B1050" s="32" t="s">
        <v>679</v>
      </c>
      <c r="C1050" s="33" t="s">
        <v>681</v>
      </c>
      <c r="D1050" s="34" t="s">
        <v>19</v>
      </c>
      <c r="E1050" s="34"/>
      <c r="F1050" s="38">
        <f t="shared" si="62"/>
        <v>35604060</v>
      </c>
      <c r="G1050" s="38">
        <f t="shared" si="62"/>
        <v>0</v>
      </c>
      <c r="H1050" s="36">
        <f t="shared" si="57"/>
        <v>35604060</v>
      </c>
    </row>
    <row r="1051" spans="1:8" ht="31.5">
      <c r="A1051" s="37" t="s">
        <v>682</v>
      </c>
      <c r="B1051" s="32" t="s">
        <v>679</v>
      </c>
      <c r="C1051" s="33" t="s">
        <v>681</v>
      </c>
      <c r="D1051" s="34" t="s">
        <v>683</v>
      </c>
      <c r="E1051" s="34"/>
      <c r="F1051" s="38">
        <f>SUM(F1052,F1054,F1056)</f>
        <v>35604060</v>
      </c>
      <c r="G1051" s="38">
        <f>SUM(G1052,G1054,G1056)</f>
        <v>0</v>
      </c>
      <c r="H1051" s="36">
        <f>SUM(F1051:G1051)</f>
        <v>35604060</v>
      </c>
    </row>
    <row r="1052" spans="1:8" ht="78.75">
      <c r="A1052" s="40" t="s">
        <v>22</v>
      </c>
      <c r="B1052" s="32" t="s">
        <v>679</v>
      </c>
      <c r="C1052" s="33" t="s">
        <v>681</v>
      </c>
      <c r="D1052" s="34" t="s">
        <v>683</v>
      </c>
      <c r="E1052" s="33" t="s">
        <v>23</v>
      </c>
      <c r="F1052" s="38">
        <f>F1053</f>
        <v>30821060</v>
      </c>
      <c r="G1052" s="38">
        <f>G1053</f>
        <v>1733635</v>
      </c>
      <c r="H1052" s="36">
        <f>SUM(F1052:G1052)</f>
        <v>32554695</v>
      </c>
    </row>
    <row r="1053" spans="1:8" ht="31.5">
      <c r="A1053" s="40" t="s">
        <v>24</v>
      </c>
      <c r="B1053" s="32" t="s">
        <v>679</v>
      </c>
      <c r="C1053" s="33" t="s">
        <v>681</v>
      </c>
      <c r="D1053" s="34" t="s">
        <v>683</v>
      </c>
      <c r="E1053" s="33" t="s">
        <v>25</v>
      </c>
      <c r="F1053" s="38">
        <v>30821060</v>
      </c>
      <c r="G1053" s="38">
        <v>1733635</v>
      </c>
      <c r="H1053" s="36">
        <f>SUM(F1053:G1053)</f>
        <v>32554695</v>
      </c>
    </row>
    <row r="1054" spans="1:8" ht="31.5">
      <c r="A1054" s="41" t="s">
        <v>28</v>
      </c>
      <c r="B1054" s="32" t="s">
        <v>679</v>
      </c>
      <c r="C1054" s="33" t="s">
        <v>681</v>
      </c>
      <c r="D1054" s="34" t="s">
        <v>683</v>
      </c>
      <c r="E1054" s="33" t="s">
        <v>29</v>
      </c>
      <c r="F1054" s="38">
        <f>F1055</f>
        <v>4773000</v>
      </c>
      <c r="G1054" s="38">
        <f>G1055</f>
        <v>-1733635</v>
      </c>
      <c r="H1054" s="36">
        <f>SUM(F1054:G1054)</f>
        <v>3039365</v>
      </c>
    </row>
    <row r="1055" spans="1:8" ht="31.5">
      <c r="A1055" s="41" t="s">
        <v>30</v>
      </c>
      <c r="B1055" s="32" t="s">
        <v>679</v>
      </c>
      <c r="C1055" s="33" t="s">
        <v>681</v>
      </c>
      <c r="D1055" s="34" t="s">
        <v>683</v>
      </c>
      <c r="E1055" s="33" t="s">
        <v>31</v>
      </c>
      <c r="F1055" s="38">
        <v>4773000</v>
      </c>
      <c r="G1055" s="38">
        <v>-1733635</v>
      </c>
      <c r="H1055" s="36">
        <f>SUM(F1055:G1055)</f>
        <v>3039365</v>
      </c>
    </row>
    <row r="1056" spans="1:8" ht="15.75">
      <c r="A1056" s="41" t="s">
        <v>36</v>
      </c>
      <c r="B1056" s="32" t="s">
        <v>679</v>
      </c>
      <c r="C1056" s="33" t="s">
        <v>681</v>
      </c>
      <c r="D1056" s="34" t="s">
        <v>683</v>
      </c>
      <c r="E1056" s="33" t="s">
        <v>37</v>
      </c>
      <c r="F1056" s="38">
        <f>F1057</f>
        <v>10000</v>
      </c>
      <c r="G1056" s="38">
        <f>G1057</f>
        <v>0</v>
      </c>
      <c r="H1056" s="36">
        <f>SUM(F1056:G1056)</f>
        <v>10000</v>
      </c>
    </row>
    <row r="1057" spans="1:8" ht="15.75">
      <c r="A1057" s="41" t="s">
        <v>38</v>
      </c>
      <c r="B1057" s="32" t="s">
        <v>679</v>
      </c>
      <c r="C1057" s="33" t="s">
        <v>681</v>
      </c>
      <c r="D1057" s="34" t="s">
        <v>683</v>
      </c>
      <c r="E1057" s="33" t="s">
        <v>39</v>
      </c>
      <c r="F1057" s="38">
        <v>10000</v>
      </c>
      <c r="G1057" s="38">
        <v>0</v>
      </c>
      <c r="H1057" s="36">
        <f>SUM(F1057:G1057)</f>
        <v>10000</v>
      </c>
    </row>
    <row r="1058" spans="1:8" ht="16.5">
      <c r="A1058" s="81" t="s">
        <v>684</v>
      </c>
      <c r="B1058" s="82"/>
      <c r="C1058" s="82"/>
      <c r="D1058" s="83"/>
      <c r="E1058" s="82"/>
      <c r="F1058" s="20">
        <f>SUM(F8,F537,F568,F686,F896,F1034,F1046,F525)</f>
        <v>6725286318.049999</v>
      </c>
      <c r="G1058" s="20">
        <f>SUM(G8,G537,G568,G686,G896,G1034,G1046,G525)</f>
        <v>376769105.85</v>
      </c>
      <c r="H1058" s="21">
        <f>SUM(F1058:G1058)</f>
        <v>7102055423.9</v>
      </c>
    </row>
  </sheetData>
  <sheetProtection selectLockedCells="1" selectUnlockedCells="1"/>
  <mergeCells count="3">
    <mergeCell ref="G1:H1"/>
    <mergeCell ref="G2:H2"/>
    <mergeCell ref="A4:H4"/>
  </mergeCells>
  <printOptions/>
  <pageMargins left="0.5097222222222222" right="0.1798611111111111" top="0.5256944444444445" bottom="0.5798611111111112" header="0.5118055555555555" footer="0.3770833333333333"/>
  <pageSetup firstPageNumber="57" useFirstPageNumber="1" fitToHeight="0" fitToWidth="1" horizontalDpi="300" verticalDpi="300" orientation="portrait" paperSize="9" scale="6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2022-12-27T11:25:29Z</dcterms:modified>
  <cp:category/>
  <cp:version/>
  <cp:contentType/>
  <cp:contentStatus/>
</cp:coreProperties>
</file>