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20" yWindow="630" windowWidth="15555" windowHeight="11910" activeTab="2"/>
  </bookViews>
  <sheets>
    <sheet name="перечень МКД 2020-2022" sheetId="1" r:id="rId1"/>
    <sheet name="виды ремонта 2020-2022" sheetId="5" r:id="rId2"/>
    <sheet name="показатели" sheetId="4" r:id="rId3"/>
  </sheets>
  <externalReferences>
    <externalReference r:id="rId4"/>
    <externalReference r:id="rId5"/>
    <externalReference r:id="rId6"/>
  </externalReferences>
  <definedNames>
    <definedName name="_xlnm._FilterDatabase" localSheetId="1" hidden="1">'виды ремонта 2020-2022'!$A$9:$AV$9</definedName>
    <definedName name="_xlnm._FilterDatabase" localSheetId="0" hidden="1">'перечень МКД 2020-2022'!$A$10:$AF$10</definedName>
    <definedName name="_xlnm._FilterDatabase" localSheetId="2" hidden="1">показатели!$A$8:$O$8</definedName>
    <definedName name="_xlnm.Print_Titles" localSheetId="1">'виды ремонта 2020-2022'!$A:$H,'виды ремонта 2020-2022'!$6:$9</definedName>
    <definedName name="_xlnm.Print_Titles" localSheetId="0">'перечень МКД 2020-2022'!$A:$H,'перечень МКД 2020-2022'!$6:$10</definedName>
    <definedName name="_xlnm.Print_Titles" localSheetId="2">показатели!$5:$8</definedName>
    <definedName name="_xlnm.Print_Area" localSheetId="1">'виды ремонта 2020-2022'!$A$1:$AS$124</definedName>
    <definedName name="_xlnm.Print_Area" localSheetId="0">'перечень МКД 2020-2022'!$A$1:$Y$121</definedName>
    <definedName name="Перечень" localSheetId="2">#REF!</definedName>
    <definedName name="Перечень">#REF!</definedName>
    <definedName name="Перечень2" localSheetId="2">#REF!</definedName>
    <definedName name="Перечень2">#REF!</definedName>
    <definedName name="Перечень3" localSheetId="2">#REF!</definedName>
    <definedName name="Перечень3">#REF!</definedName>
  </definedNames>
  <calcPr calcId="144525"/>
</workbook>
</file>

<file path=xl/calcChain.xml><?xml version="1.0" encoding="utf-8"?>
<calcChain xmlns="http://schemas.openxmlformats.org/spreadsheetml/2006/main">
  <c r="Q117" i="1" l="1"/>
  <c r="P116" i="1"/>
  <c r="P117" i="1" s="1"/>
  <c r="O105" i="1"/>
  <c r="O102" i="1"/>
  <c r="N90" i="1"/>
  <c r="N87" i="1"/>
  <c r="N86" i="1"/>
  <c r="U117" i="1"/>
  <c r="T117" i="1"/>
  <c r="S117" i="1"/>
  <c r="V117" i="1"/>
  <c r="R88" i="1"/>
  <c r="W88" i="1" s="1"/>
  <c r="R87" i="1"/>
  <c r="R89" i="1"/>
  <c r="R90" i="1"/>
  <c r="W90" i="1" s="1"/>
  <c r="R91" i="1"/>
  <c r="W91" i="1" s="1"/>
  <c r="R92" i="1"/>
  <c r="W92" i="1" s="1"/>
  <c r="R93" i="1"/>
  <c r="W93" i="1" s="1"/>
  <c r="R94" i="1"/>
  <c r="W94" i="1" s="1"/>
  <c r="R95" i="1"/>
  <c r="W95" i="1" s="1"/>
  <c r="R96" i="1"/>
  <c r="W96" i="1" s="1"/>
  <c r="R97" i="1"/>
  <c r="W97" i="1" s="1"/>
  <c r="R98" i="1"/>
  <c r="W98" i="1" s="1"/>
  <c r="R99" i="1"/>
  <c r="W99" i="1" s="1"/>
  <c r="R100" i="1"/>
  <c r="W100" i="1" s="1"/>
  <c r="R101" i="1"/>
  <c r="W101" i="1" s="1"/>
  <c r="R102" i="1"/>
  <c r="R103" i="1"/>
  <c r="W103" i="1" s="1"/>
  <c r="R104" i="1"/>
  <c r="W104" i="1" s="1"/>
  <c r="R105" i="1"/>
  <c r="R106" i="1"/>
  <c r="W106" i="1" s="1"/>
  <c r="R107" i="1"/>
  <c r="W107" i="1" s="1"/>
  <c r="R108" i="1"/>
  <c r="W108" i="1" s="1"/>
  <c r="R109" i="1"/>
  <c r="W109" i="1" s="1"/>
  <c r="R110" i="1"/>
  <c r="W110" i="1" s="1"/>
  <c r="R111" i="1"/>
  <c r="W111" i="1" s="1"/>
  <c r="R112" i="1"/>
  <c r="W112" i="1" s="1"/>
  <c r="R113" i="1"/>
  <c r="W113" i="1" s="1"/>
  <c r="R114" i="1"/>
  <c r="W114" i="1" s="1"/>
  <c r="R115" i="1"/>
  <c r="W115" i="1" s="1"/>
  <c r="R116" i="1"/>
  <c r="W116" i="1" s="1"/>
  <c r="R86" i="1"/>
  <c r="W86" i="1" s="1"/>
  <c r="W87" i="1"/>
  <c r="W89" i="1"/>
  <c r="O117" i="1" l="1"/>
  <c r="N117" i="1"/>
  <c r="W105" i="1"/>
  <c r="W102" i="1"/>
  <c r="R117" i="1"/>
  <c r="W117" i="1" s="1"/>
  <c r="G14" i="4"/>
  <c r="E14" i="4"/>
  <c r="X117" i="5"/>
  <c r="V117" i="5"/>
  <c r="R117" i="5"/>
  <c r="P117" i="5"/>
  <c r="AR117" i="5"/>
  <c r="S97" i="5"/>
  <c r="I97" i="5" s="1"/>
  <c r="S96" i="5"/>
  <c r="I96" i="5" s="1"/>
  <c r="S95" i="5"/>
  <c r="I95" i="5" s="1"/>
  <c r="O115" i="5"/>
  <c r="I115" i="5" s="1"/>
  <c r="W114" i="5"/>
  <c r="S114" i="5"/>
  <c r="S113" i="5"/>
  <c r="I113" i="5" s="1"/>
  <c r="S112" i="5"/>
  <c r="I112" i="5" s="1"/>
  <c r="M111" i="5"/>
  <c r="L111" i="5"/>
  <c r="K111" i="5"/>
  <c r="J111" i="5"/>
  <c r="S110" i="5"/>
  <c r="I110" i="5" s="1"/>
  <c r="S109" i="5"/>
  <c r="I109" i="5" s="1"/>
  <c r="S108" i="5"/>
  <c r="I108" i="5" s="1"/>
  <c r="Y107" i="5"/>
  <c r="I107" i="5" s="1"/>
  <c r="S106" i="5"/>
  <c r="I106" i="5" s="1"/>
  <c r="S105" i="5"/>
  <c r="I105" i="5" s="1"/>
  <c r="S104" i="5"/>
  <c r="I104" i="5" s="1"/>
  <c r="W103" i="5"/>
  <c r="I103" i="5" s="1"/>
  <c r="S102" i="5"/>
  <c r="I102" i="5" s="1"/>
  <c r="S101" i="5"/>
  <c r="I101" i="5" s="1"/>
  <c r="W100" i="5"/>
  <c r="I100" i="5" s="1"/>
  <c r="M99" i="5"/>
  <c r="I99" i="5" s="1"/>
  <c r="S98" i="5"/>
  <c r="I98" i="5" s="1"/>
  <c r="S94" i="5"/>
  <c r="I94" i="5" s="1"/>
  <c r="S93" i="5"/>
  <c r="I93" i="5" s="1"/>
  <c r="M92" i="5"/>
  <c r="M117" i="5" s="1"/>
  <c r="L92" i="5"/>
  <c r="K92" i="5"/>
  <c r="J92" i="5"/>
  <c r="S91" i="5"/>
  <c r="I91" i="5" s="1"/>
  <c r="O90" i="5"/>
  <c r="I90" i="5" s="1"/>
  <c r="S89" i="5"/>
  <c r="I89" i="5" s="1"/>
  <c r="S87" i="5"/>
  <c r="I87" i="5" s="1"/>
  <c r="S88" i="5"/>
  <c r="I88" i="5" s="1"/>
  <c r="S86" i="5"/>
  <c r="I86" i="5" s="1"/>
  <c r="J117" i="5" l="1"/>
  <c r="Y117" i="5"/>
  <c r="K117" i="5"/>
  <c r="L117" i="5"/>
  <c r="O117" i="5"/>
  <c r="Q117" i="5"/>
  <c r="W117" i="5"/>
  <c r="I114" i="5"/>
  <c r="I111" i="5"/>
  <c r="I92" i="5"/>
  <c r="S116" i="5" l="1"/>
  <c r="I116" i="5" l="1"/>
  <c r="I117" i="5" s="1"/>
  <c r="S117" i="5"/>
  <c r="R60" i="1"/>
  <c r="W60" i="1" s="1"/>
  <c r="S59" i="5"/>
  <c r="I59" i="5" s="1"/>
  <c r="O46" i="5" l="1"/>
  <c r="S46" i="5"/>
  <c r="I46" i="5" l="1"/>
  <c r="AR82" i="5"/>
  <c r="X82" i="5"/>
  <c r="R82" i="5"/>
  <c r="O82" i="5"/>
  <c r="P82" i="5"/>
  <c r="V83" i="1"/>
  <c r="U83" i="1"/>
  <c r="T83" i="1"/>
  <c r="S83" i="1"/>
  <c r="Q83" i="1"/>
  <c r="R39" i="1"/>
  <c r="R38" i="1"/>
  <c r="R37" i="1"/>
  <c r="R36" i="1"/>
  <c r="R63" i="1"/>
  <c r="R62" i="1"/>
  <c r="R81" i="1"/>
  <c r="R61" i="1"/>
  <c r="R47" i="1"/>
  <c r="R55" i="1"/>
  <c r="R53" i="1"/>
  <c r="R50" i="1"/>
  <c r="R49" i="1"/>
  <c r="R45" i="1"/>
  <c r="R44" i="1"/>
  <c r="R73" i="1"/>
  <c r="R40" i="1"/>
  <c r="R56" i="1"/>
  <c r="R46" i="1"/>
  <c r="R58" i="1"/>
  <c r="R57" i="1"/>
  <c r="R48" i="1"/>
  <c r="R65" i="1"/>
  <c r="R70" i="1"/>
  <c r="R69" i="1"/>
  <c r="R72" i="1"/>
  <c r="R80" i="1"/>
  <c r="R79" i="1"/>
  <c r="R78" i="1"/>
  <c r="R77" i="1"/>
  <c r="R76" i="1"/>
  <c r="R75" i="1"/>
  <c r="R74" i="1"/>
  <c r="R68" i="1"/>
  <c r="R67" i="1"/>
  <c r="R66" i="1"/>
  <c r="R42" i="1"/>
  <c r="R59" i="1"/>
  <c r="R43" i="1"/>
  <c r="R41" i="1"/>
  <c r="R52" i="1"/>
  <c r="R82" i="1"/>
  <c r="R54" i="1"/>
  <c r="R64" i="1"/>
  <c r="R51" i="1"/>
  <c r="R71" i="1"/>
  <c r="W48" i="1"/>
  <c r="W57" i="1"/>
  <c r="W58" i="1"/>
  <c r="W46" i="1"/>
  <c r="W56" i="1"/>
  <c r="R83" i="1" l="1"/>
  <c r="Y72" i="5"/>
  <c r="S55" i="5"/>
  <c r="I55" i="5" s="1"/>
  <c r="S45" i="5"/>
  <c r="I45" i="5" s="1"/>
  <c r="S57" i="5"/>
  <c r="I57" i="5" s="1"/>
  <c r="S56" i="5"/>
  <c r="I56" i="5" s="1"/>
  <c r="S47" i="5"/>
  <c r="I47" i="5" s="1"/>
  <c r="S64" i="5"/>
  <c r="I64" i="5" s="1"/>
  <c r="W37" i="1" l="1"/>
  <c r="W38" i="1"/>
  <c r="W36" i="1"/>
  <c r="W39" i="1"/>
  <c r="Y38" i="5"/>
  <c r="I38" i="5" s="1"/>
  <c r="Y37" i="5"/>
  <c r="I37" i="5" s="1"/>
  <c r="Y36" i="5"/>
  <c r="I36" i="5" s="1"/>
  <c r="Y35" i="5"/>
  <c r="I35" i="5" l="1"/>
  <c r="O63" i="1"/>
  <c r="N63" i="1"/>
  <c r="O62" i="1"/>
  <c r="N62" i="1"/>
  <c r="Y62" i="5"/>
  <c r="I62" i="5" s="1"/>
  <c r="Y61" i="5"/>
  <c r="I61" i="5" s="1"/>
  <c r="O83" i="1" l="1"/>
  <c r="W83" i="1" s="1"/>
  <c r="Y82" i="5"/>
  <c r="W63" i="1"/>
  <c r="W62" i="1"/>
  <c r="W82" i="1"/>
  <c r="S80" i="5"/>
  <c r="I80" i="5" s="1"/>
  <c r="W47" i="1" l="1"/>
  <c r="W44" i="1" l="1"/>
  <c r="W45" i="1"/>
  <c r="W49" i="1"/>
  <c r="W50" i="1"/>
  <c r="W53" i="1"/>
  <c r="W55" i="1"/>
  <c r="W65" i="1"/>
  <c r="W61" i="1"/>
  <c r="W40" i="1" l="1"/>
  <c r="W73" i="1"/>
  <c r="S40" i="5"/>
  <c r="I40" i="5" s="1"/>
  <c r="S42" i="5"/>
  <c r="I42" i="5" s="1"/>
  <c r="S58" i="5"/>
  <c r="I58" i="5" s="1"/>
  <c r="I72" i="5"/>
  <c r="S39" i="5"/>
  <c r="I39" i="5" l="1"/>
  <c r="W41" i="1"/>
  <c r="W43" i="1"/>
  <c r="W59" i="1"/>
  <c r="P41" i="1"/>
  <c r="N41" i="1"/>
  <c r="P43" i="1"/>
  <c r="N43" i="1"/>
  <c r="P59" i="1"/>
  <c r="N59" i="1"/>
  <c r="N83" i="1" l="1"/>
  <c r="P83" i="1"/>
  <c r="W72" i="1"/>
  <c r="W69" i="1"/>
  <c r="W70" i="1"/>
  <c r="S69" i="5"/>
  <c r="I69" i="5" s="1"/>
  <c r="S68" i="5"/>
  <c r="I68" i="5" s="1"/>
  <c r="S71" i="5"/>
  <c r="I71" i="5" s="1"/>
  <c r="W74" i="1"/>
  <c r="W75" i="1"/>
  <c r="W76" i="1"/>
  <c r="W77" i="1"/>
  <c r="W78" i="1"/>
  <c r="W79" i="1"/>
  <c r="W80" i="1"/>
  <c r="S79" i="5"/>
  <c r="I79" i="5" s="1"/>
  <c r="S78" i="5"/>
  <c r="I78" i="5" s="1"/>
  <c r="S77" i="5"/>
  <c r="I77" i="5" s="1"/>
  <c r="S76" i="5"/>
  <c r="I76" i="5" s="1"/>
  <c r="S75" i="5"/>
  <c r="I75" i="5" s="1"/>
  <c r="S74" i="5"/>
  <c r="I74" i="5" s="1"/>
  <c r="S73" i="5"/>
  <c r="I73" i="5" s="1"/>
  <c r="W68" i="1"/>
  <c r="W67" i="1"/>
  <c r="W66" i="1"/>
  <c r="S67" i="5"/>
  <c r="I67" i="5" s="1"/>
  <c r="S65" i="5"/>
  <c r="I65" i="5" s="1"/>
  <c r="S66" i="5"/>
  <c r="I66" i="5" s="1"/>
  <c r="W42" i="1"/>
  <c r="S41" i="5"/>
  <c r="I41" i="5" l="1"/>
  <c r="S43" i="5"/>
  <c r="I43" i="5" s="1"/>
  <c r="D12" i="4" l="1"/>
  <c r="C12" i="4"/>
  <c r="N12" i="4"/>
  <c r="M12" i="4"/>
  <c r="N11" i="4"/>
  <c r="I12" i="4"/>
  <c r="H12" i="4"/>
  <c r="I11" i="4"/>
  <c r="W52" i="1"/>
  <c r="S51" i="5"/>
  <c r="I51" i="5" s="1"/>
  <c r="W81" i="1" l="1"/>
  <c r="W54" i="1" l="1"/>
  <c r="W64" i="1"/>
  <c r="W51" i="1"/>
  <c r="W71" i="1"/>
  <c r="M14" i="4" l="1"/>
  <c r="I14" i="4"/>
  <c r="H14" i="4"/>
  <c r="D14" i="4"/>
  <c r="C14" i="4"/>
  <c r="N13" i="4"/>
  <c r="N14" i="4" s="1"/>
  <c r="L13" i="4"/>
  <c r="K13" i="4"/>
  <c r="J13" i="4"/>
  <c r="F13" i="4"/>
  <c r="L11" i="4"/>
  <c r="K11" i="4"/>
  <c r="J11" i="4"/>
  <c r="G11" i="4"/>
  <c r="F11" i="4"/>
  <c r="N10" i="4"/>
  <c r="M10" i="4"/>
  <c r="H10" i="4"/>
  <c r="G10" i="4"/>
  <c r="D10" i="4"/>
  <c r="C10" i="4"/>
  <c r="N9" i="4"/>
  <c r="I10" i="4"/>
  <c r="V33" i="1"/>
  <c r="U33" i="1"/>
  <c r="T33" i="1"/>
  <c r="S33" i="1"/>
  <c r="Q33" i="1"/>
  <c r="P33" i="1"/>
  <c r="N33" i="1"/>
  <c r="R32" i="1"/>
  <c r="W32" i="1" s="1"/>
  <c r="R31" i="1"/>
  <c r="W31" i="1" s="1"/>
  <c r="W30" i="1"/>
  <c r="W29" i="1"/>
  <c r="W28" i="1"/>
  <c r="R27" i="1"/>
  <c r="W27" i="1" s="1"/>
  <c r="W26" i="1"/>
  <c r="W25" i="1"/>
  <c r="R24" i="1"/>
  <c r="W24" i="1" s="1"/>
  <c r="W23" i="1"/>
  <c r="W22" i="1"/>
  <c r="W21" i="1"/>
  <c r="W20" i="1"/>
  <c r="W19" i="1"/>
  <c r="W18" i="1"/>
  <c r="O17" i="1"/>
  <c r="O33" i="1" s="1"/>
  <c r="W16" i="1"/>
  <c r="W15" i="1"/>
  <c r="R14" i="1"/>
  <c r="W14" i="1" s="1"/>
  <c r="R13" i="1"/>
  <c r="W13" i="1" s="1"/>
  <c r="R12" i="1"/>
  <c r="W12" i="1" s="1"/>
  <c r="W17" i="1" l="1"/>
  <c r="R33" i="1"/>
  <c r="W33" i="1" s="1"/>
  <c r="S70" i="5" l="1"/>
  <c r="I70" i="5" s="1"/>
  <c r="S50" i="5"/>
  <c r="I50" i="5" s="1"/>
  <c r="Q81" i="5" l="1"/>
  <c r="I81" i="5" s="1"/>
  <c r="Q60" i="5"/>
  <c r="S53" i="5"/>
  <c r="I53" i="5" s="1"/>
  <c r="S63" i="5"/>
  <c r="I63" i="5" s="1"/>
  <c r="S48" i="5"/>
  <c r="I48" i="5" s="1"/>
  <c r="S44" i="5"/>
  <c r="S54" i="5"/>
  <c r="I54" i="5" s="1"/>
  <c r="S52" i="5"/>
  <c r="I52" i="5" s="1"/>
  <c r="S49" i="5"/>
  <c r="I49" i="5" s="1"/>
  <c r="I44" i="5" l="1"/>
  <c r="S82" i="5"/>
  <c r="I60" i="5"/>
  <c r="Q82" i="5"/>
  <c r="I82" i="5" l="1"/>
  <c r="V32" i="5"/>
  <c r="R32" i="5"/>
  <c r="P32" i="5"/>
  <c r="Y31" i="5"/>
  <c r="I31" i="5" s="1"/>
  <c r="Y30" i="5"/>
  <c r="I30" i="5" s="1"/>
  <c r="W29" i="5"/>
  <c r="W28" i="5"/>
  <c r="S28" i="5"/>
  <c r="W27" i="5"/>
  <c r="S27" i="5"/>
  <c r="AR26" i="5"/>
  <c r="W26" i="5"/>
  <c r="S25" i="5"/>
  <c r="I25" i="5" s="1"/>
  <c r="S24" i="5"/>
  <c r="I24" i="5" s="1"/>
  <c r="S23" i="5"/>
  <c r="I23" i="5" s="1"/>
  <c r="Q22" i="5"/>
  <c r="Q21" i="5"/>
  <c r="Q20" i="5"/>
  <c r="I20" i="5" s="1"/>
  <c r="Q19" i="5"/>
  <c r="I19" i="5" s="1"/>
  <c r="Q18" i="5"/>
  <c r="I18" i="5" s="1"/>
  <c r="Q17" i="5"/>
  <c r="I17" i="5" s="1"/>
  <c r="Q16" i="5"/>
  <c r="I16" i="5" s="1"/>
  <c r="Q15" i="5"/>
  <c r="I15" i="5" s="1"/>
  <c r="Q14" i="5"/>
  <c r="I14" i="5" s="1"/>
  <c r="Q13" i="5"/>
  <c r="I13" i="5" s="1"/>
  <c r="Q12" i="5"/>
  <c r="I12" i="5" s="1"/>
  <c r="Q11" i="5"/>
  <c r="I22" i="5" l="1"/>
  <c r="I21" i="5"/>
  <c r="I28" i="5"/>
  <c r="I27" i="5"/>
  <c r="Q32" i="5"/>
  <c r="AR32" i="5"/>
  <c r="W32" i="5"/>
  <c r="I29" i="5"/>
  <c r="S32" i="5"/>
  <c r="Y32" i="5"/>
  <c r="I11" i="5"/>
  <c r="I26" i="5"/>
  <c r="I32" i="5" l="1"/>
</calcChain>
</file>

<file path=xl/sharedStrings.xml><?xml version="1.0" encoding="utf-8"?>
<sst xmlns="http://schemas.openxmlformats.org/spreadsheetml/2006/main" count="1209" uniqueCount="168">
  <si>
    <t>№ п/п</t>
  </si>
  <si>
    <t>Адрес МКД *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</si>
  <si>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</si>
  <si>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</si>
  <si>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</si>
  <si>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</si>
  <si>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</si>
  <si>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</si>
  <si>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</si>
  <si>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</si>
  <si>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</si>
  <si>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</si>
  <si>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</si>
  <si>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тип муниципального образования</t>
  </si>
  <si>
    <t>наименование муниципального образования</t>
  </si>
  <si>
    <t>улица (тип)</t>
  </si>
  <si>
    <t>наименование улицы</t>
  </si>
  <si>
    <t>дом</t>
  </si>
  <si>
    <t>корпус</t>
  </si>
  <si>
    <t>литера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</si>
  <si>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</si>
  <si>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</si>
  <si>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</si>
  <si>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</si>
  <si>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</si>
  <si>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жилищно-коммунального хозяйства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</si>
  <si>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</si>
  <si>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</si>
  <si>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</si>
  <si>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</si>
  <si>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</si>
  <si>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</si>
  <si>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</si>
  <si>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№ п\п</t>
  </si>
  <si>
    <t>Стоимость капитального ремонта ВСЕГО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</si>
  <si>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</si>
  <si>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</si>
  <si>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</si>
  <si>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</si>
  <si>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</si>
  <si>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отмостки</t>
  </si>
  <si>
    <t>Ремонт фундамента</t>
  </si>
  <si>
    <t>Утепление  фасадов</t>
  </si>
  <si>
    <t>Переустройство невентилируемой крыши на вентилируемую крышу</t>
  </si>
  <si>
    <t xml:space="preserve"> Устройство выходов на кровлю</t>
  </si>
  <si>
    <t>Установка коллективных (общедомовых) приборов учета и узлов управления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</si>
  <si>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</si>
  <si>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</si>
  <si>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</si>
  <si>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</si>
  <si>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</si>
  <si>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</si>
  <si>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</si>
  <si>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система электро-
снабжения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</si>
  <si>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</si>
  <si>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</si>
  <si>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</si>
  <si>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</si>
  <si>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</si>
  <si>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ед.</t>
  </si>
  <si>
    <t>кв.м.</t>
  </si>
  <si>
    <t>куб.м.</t>
  </si>
  <si>
    <t>Наименование муниципального образования</t>
  </si>
  <si>
    <t>Общая площадь МКД *, всего</t>
  </si>
  <si>
    <t>Количество МКД</t>
  </si>
  <si>
    <t>I квартал</t>
  </si>
  <si>
    <t>II квартал</t>
  </si>
  <si>
    <t>III квартал</t>
  </si>
  <si>
    <t>IV квартал</t>
  </si>
  <si>
    <t>Х</t>
  </si>
  <si>
    <t>город</t>
  </si>
  <si>
    <t>Обнинск</t>
  </si>
  <si>
    <t>проспект</t>
  </si>
  <si>
    <t>Ленина</t>
  </si>
  <si>
    <t>кирпич</t>
  </si>
  <si>
    <t>панели</t>
  </si>
  <si>
    <t>Маркса</t>
  </si>
  <si>
    <t>панель</t>
  </si>
  <si>
    <t xml:space="preserve">улица </t>
  </si>
  <si>
    <t>Аксенова</t>
  </si>
  <si>
    <t>улица</t>
  </si>
  <si>
    <t>Белкинская</t>
  </si>
  <si>
    <t>Гагарина</t>
  </si>
  <si>
    <t>Железнодорожная</t>
  </si>
  <si>
    <t>1</t>
  </si>
  <si>
    <t>Калужская</t>
  </si>
  <si>
    <t>Королева</t>
  </si>
  <si>
    <t>Курчатова</t>
  </si>
  <si>
    <t>А</t>
  </si>
  <si>
    <t>Победы</t>
  </si>
  <si>
    <t>Пушкина</t>
  </si>
  <si>
    <t>Энгельса</t>
  </si>
  <si>
    <t>Красных Зорь</t>
  </si>
  <si>
    <t>Мира</t>
  </si>
  <si>
    <t>Лейпунского</t>
  </si>
  <si>
    <t>Глинки</t>
  </si>
  <si>
    <t>9/20</t>
  </si>
  <si>
    <t>* - многоквартирный дом</t>
  </si>
  <si>
    <t xml:space="preserve">
</t>
  </si>
  <si>
    <t xml:space="preserve">Приложение № 2
к  постановлению Администрации г. Обнинска </t>
  </si>
  <si>
    <t xml:space="preserve">Приложение № 1
к  постановлению Администрации г. Обнинска </t>
  </si>
  <si>
    <t xml:space="preserve">Приложение № 3
к  постановлению Администрации г. Обнинска 
</t>
  </si>
  <si>
    <t>Калужская (1 под)</t>
  </si>
  <si>
    <t>2</t>
  </si>
  <si>
    <t>4</t>
  </si>
  <si>
    <t>5</t>
  </si>
  <si>
    <t>2020 год</t>
  </si>
  <si>
    <t>Всего по МО "Город Обнинск" по 2020 году</t>
  </si>
  <si>
    <t>2021 год</t>
  </si>
  <si>
    <t xml:space="preserve">Калужская </t>
  </si>
  <si>
    <t>2/5</t>
  </si>
  <si>
    <t>Блохинцева</t>
  </si>
  <si>
    <t>6/48</t>
  </si>
  <si>
    <t>Комарова</t>
  </si>
  <si>
    <t>Комсомольская</t>
  </si>
  <si>
    <t>Пионерский пр-д</t>
  </si>
  <si>
    <t>26/2</t>
  </si>
  <si>
    <t>30/1</t>
  </si>
  <si>
    <t>32</t>
  </si>
  <si>
    <t>Любого</t>
  </si>
  <si>
    <t>Труда</t>
  </si>
  <si>
    <t>Чехова</t>
  </si>
  <si>
    <t xml:space="preserve">Ленина </t>
  </si>
  <si>
    <t>Всего по МО "Город Обнинск" по 2021 году</t>
  </si>
  <si>
    <t>Маркса  (груз)</t>
  </si>
  <si>
    <t>Перечень многоквартирных домов, которые подлежат капитальному ремонту 2020-2022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</si>
  <si>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 на 2020-2022</t>
  </si>
  <si>
    <t>12.2020</t>
  </si>
  <si>
    <t>шлак.бл.</t>
  </si>
  <si>
    <t>Итого по МО "Город Обнинск" по 2020 году</t>
  </si>
  <si>
    <t xml:space="preserve"> МО "Город Обнинск"</t>
  </si>
  <si>
    <t>панельный</t>
  </si>
  <si>
    <t>12.2021</t>
  </si>
  <si>
    <t xml:space="preserve">Энгельса </t>
  </si>
  <si>
    <t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2020-2022</t>
  </si>
  <si>
    <t>шлакоблоч</t>
  </si>
  <si>
    <t>проезд</t>
  </si>
  <si>
    <t>Маркса (1 гр)</t>
  </si>
  <si>
    <t>Кончаловского</t>
  </si>
  <si>
    <t>ж/бет панели</t>
  </si>
  <si>
    <t>просп.</t>
  </si>
  <si>
    <t>Итого по МО "Город Обнинск" по 2021 году</t>
  </si>
  <si>
    <t>Пионерский</t>
  </si>
  <si>
    <t>2022 год</t>
  </si>
  <si>
    <t xml:space="preserve">Мира  </t>
  </si>
  <si>
    <t xml:space="preserve">Ленина  </t>
  </si>
  <si>
    <t xml:space="preserve">Победы </t>
  </si>
  <si>
    <t xml:space="preserve">Курчатова  </t>
  </si>
  <si>
    <t xml:space="preserve">Красныхз Зорь  </t>
  </si>
  <si>
    <t xml:space="preserve">Гагарина  </t>
  </si>
  <si>
    <t xml:space="preserve">Энгельса  </t>
  </si>
  <si>
    <t xml:space="preserve">Королева  </t>
  </si>
  <si>
    <t xml:space="preserve">Звездная  </t>
  </si>
  <si>
    <t xml:space="preserve">Маркса  </t>
  </si>
  <si>
    <t>226</t>
  </si>
  <si>
    <t>224</t>
  </si>
  <si>
    <t>130</t>
  </si>
  <si>
    <t>9</t>
  </si>
  <si>
    <t>Заводская</t>
  </si>
  <si>
    <t>11/6</t>
  </si>
  <si>
    <t>Панели,кирпич</t>
  </si>
  <si>
    <t>12.2022</t>
  </si>
  <si>
    <t>Всего по МО "Город Обнинск" по 2022 году</t>
  </si>
  <si>
    <t>Итого по МО "Город Обнинск" по 2022 году</t>
  </si>
  <si>
    <t>панели, кирпич</t>
  </si>
  <si>
    <r>
      <rPr>
        <u/>
        <sz val="12"/>
        <rFont val="Times New Roman"/>
        <family val="1"/>
        <charset val="204"/>
      </rPr>
      <t>09.03.2022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 xml:space="preserve"> 407-п</t>
    </r>
  </si>
  <si>
    <r>
      <rPr>
        <u/>
        <sz val="14"/>
        <rFont val="Times New Roman"/>
        <family val="1"/>
        <charset val="204"/>
      </rPr>
      <t xml:space="preserve">09.03.2022 </t>
    </r>
    <r>
      <rPr>
        <sz val="14"/>
        <rFont val="Times New Roman"/>
        <family val="1"/>
        <charset val="204"/>
      </rPr>
      <t xml:space="preserve"> №  407-п</t>
    </r>
  </si>
  <si>
    <r>
      <rPr>
        <u/>
        <sz val="12"/>
        <color theme="1"/>
        <rFont val="Times New Roman"/>
        <family val="1"/>
        <charset val="204"/>
      </rPr>
      <t xml:space="preserve">09.03.2022 </t>
    </r>
    <r>
      <rPr>
        <sz val="12"/>
        <color theme="1"/>
        <rFont val="Times New Roman"/>
        <family val="1"/>
        <charset val="204"/>
      </rPr>
      <t xml:space="preserve"> №  </t>
    </r>
    <r>
      <rPr>
        <u/>
        <sz val="12"/>
        <color theme="1"/>
        <rFont val="Times New Roman"/>
        <family val="1"/>
        <charset val="204"/>
      </rPr>
      <t>407-п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</si>
</sst>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37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b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164" fontId="22" fillId="0" borderId="0" applyFont="0" applyFill="0" applyBorder="0" applyAlignment="0" applyProtection="0"/>
  </cellStyleXfs>
  <cellXfs count="529">
    <xf numFmtId="0" fontId="0" fillId="0" borderId="0" xfId="0"/>
    <xf numFmtId="3" fontId="10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0" xfId="1" applyFont="1" applyFill="1" applyAlignment="1">
      <alignment horizontal="center"/>
    </xf>
    <xf numFmtId="0" fontId="11" fillId="0" borderId="0" xfId="1" applyFont="1" applyFill="1" applyAlignment="1">
      <alignment vertical="top" wrapText="1"/>
    </xf>
    <xf numFmtId="0" fontId="13" fillId="0" borderId="0" xfId="1" applyFont="1" applyFill="1"/>
    <xf numFmtId="3" fontId="10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/>
    </xf>
    <xf numFmtId="3" fontId="13" fillId="0" borderId="0" xfId="1" applyNumberFormat="1" applyFont="1" applyFill="1"/>
    <xf numFmtId="0" fontId="10" fillId="0" borderId="0" xfId="1" applyFont="1" applyFill="1"/>
    <xf numFmtId="0" fontId="11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wrapText="1"/>
    </xf>
    <xf numFmtId="0" fontId="13" fillId="0" borderId="0" xfId="1" applyFont="1" applyFill="1" applyAlignment="1">
      <alignment horizont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wrapText="1"/>
    </xf>
    <xf numFmtId="4" fontId="11" fillId="0" borderId="2" xfId="0" applyNumberFormat="1" applyFont="1" applyFill="1" applyBorder="1" applyAlignment="1">
      <alignment horizontal="right" vertical="center" indent="1"/>
    </xf>
    <xf numFmtId="4" fontId="11" fillId="0" borderId="6" xfId="0" applyNumberFormat="1" applyFont="1" applyFill="1" applyBorder="1" applyAlignment="1">
      <alignment horizontal="right" vertical="center" indent="1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wrapText="1"/>
    </xf>
    <xf numFmtId="1" fontId="11" fillId="0" borderId="2" xfId="2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right" vertical="center" indent="1"/>
    </xf>
    <xf numFmtId="0" fontId="14" fillId="0" borderId="0" xfId="22" applyFont="1" applyFill="1" applyAlignment="1">
      <alignment horizontal="left" vertical="center"/>
    </xf>
    <xf numFmtId="0" fontId="14" fillId="0" borderId="0" xfId="22" applyFont="1" applyFill="1" applyAlignment="1">
      <alignment horizontal="center" vertical="center" wrapText="1"/>
    </xf>
    <xf numFmtId="0" fontId="14" fillId="0" borderId="0" xfId="22" applyFont="1" applyFill="1" applyAlignment="1">
      <alignment wrapText="1"/>
    </xf>
    <xf numFmtId="0" fontId="14" fillId="0" borderId="0" xfId="22" applyFont="1" applyFill="1" applyAlignment="1">
      <alignment horizontal="left" wrapText="1"/>
    </xf>
    <xf numFmtId="0" fontId="14" fillId="0" borderId="0" xfId="22" applyFont="1" applyFill="1" applyAlignment="1">
      <alignment horizontal="center" vertical="center"/>
    </xf>
    <xf numFmtId="0" fontId="14" fillId="0" borderId="0" xfId="22" applyFont="1" applyFill="1"/>
    <xf numFmtId="0" fontId="14" fillId="0" borderId="0" xfId="22" applyFont="1" applyFill="1" applyAlignment="1">
      <alignment vertical="center" wrapText="1"/>
    </xf>
    <xf numFmtId="3" fontId="14" fillId="0" borderId="2" xfId="22" applyNumberFormat="1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center" vertical="center"/>
    </xf>
    <xf numFmtId="3" fontId="14" fillId="0" borderId="2" xfId="22" applyNumberFormat="1" applyFont="1" applyFill="1" applyBorder="1" applyAlignment="1">
      <alignment horizontal="center"/>
    </xf>
    <xf numFmtId="3" fontId="14" fillId="0" borderId="2" xfId="22" applyNumberFormat="1" applyFont="1" applyFill="1" applyBorder="1" applyAlignment="1">
      <alignment horizontal="center" vertical="center"/>
    </xf>
    <xf numFmtId="0" fontId="14" fillId="0" borderId="0" xfId="22" applyFont="1" applyFill="1" applyAlignment="1">
      <alignment horizont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4" fontId="14" fillId="0" borderId="2" xfId="3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3" fontId="14" fillId="0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/>
    </xf>
    <xf numFmtId="4" fontId="14" fillId="0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Fill="1" applyBorder="1" applyAlignment="1">
      <alignment horizontal="center" vertical="center"/>
    </xf>
    <xf numFmtId="4" fontId="14" fillId="0" borderId="9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/>
    </xf>
    <xf numFmtId="4" fontId="14" fillId="2" borderId="2" xfId="0" applyNumberFormat="1" applyFont="1" applyFill="1" applyBorder="1" applyAlignment="1">
      <alignment horizontal="right" vertical="center"/>
    </xf>
    <xf numFmtId="49" fontId="14" fillId="2" borderId="2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right" vertical="center"/>
    </xf>
    <xf numFmtId="4" fontId="14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right" vertical="center"/>
    </xf>
    <xf numFmtId="4" fontId="14" fillId="2" borderId="2" xfId="0" applyNumberFormat="1" applyFont="1" applyFill="1" applyBorder="1" applyAlignment="1">
      <alignment horizontal="left" vertical="center"/>
    </xf>
    <xf numFmtId="4" fontId="14" fillId="2" borderId="2" xfId="3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/>
    </xf>
    <xf numFmtId="4" fontId="14" fillId="0" borderId="15" xfId="0" applyNumberFormat="1" applyFont="1" applyFill="1" applyBorder="1" applyAlignment="1">
      <alignment horizontal="right" vertical="center"/>
    </xf>
    <xf numFmtId="3" fontId="14" fillId="0" borderId="15" xfId="0" applyNumberFormat="1" applyFont="1" applyFill="1" applyBorder="1" applyAlignment="1">
      <alignment horizontal="right" vertical="center"/>
    </xf>
    <xf numFmtId="4" fontId="14" fillId="0" borderId="15" xfId="0" applyNumberFormat="1" applyFont="1" applyFill="1" applyBorder="1" applyAlignment="1">
      <alignment horizontal="center" vertical="center"/>
    </xf>
    <xf numFmtId="1" fontId="14" fillId="0" borderId="15" xfId="0" applyNumberFormat="1" applyFont="1" applyFill="1" applyBorder="1" applyAlignment="1">
      <alignment horizontal="right" vertical="center"/>
    </xf>
    <xf numFmtId="4" fontId="14" fillId="0" borderId="15" xfId="3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/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right" vertical="center"/>
    </xf>
    <xf numFmtId="3" fontId="15" fillId="0" borderId="13" xfId="0" applyNumberFormat="1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right" vertical="center"/>
    </xf>
    <xf numFmtId="4" fontId="15" fillId="0" borderId="13" xfId="3" applyNumberFormat="1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right" vertical="center"/>
    </xf>
    <xf numFmtId="4" fontId="15" fillId="0" borderId="0" xfId="3" applyNumberFormat="1" applyFont="1" applyFill="1" applyBorder="1" applyAlignment="1">
      <alignment horizontal="right" vertical="center"/>
    </xf>
    <xf numFmtId="0" fontId="14" fillId="2" borderId="0" xfId="22" applyFont="1" applyFill="1"/>
    <xf numFmtId="0" fontId="14" fillId="0" borderId="2" xfId="22" applyFont="1" applyFill="1" applyBorder="1"/>
    <xf numFmtId="0" fontId="12" fillId="2" borderId="2" xfId="0" applyFont="1" applyFill="1" applyBorder="1" applyAlignment="1">
      <alignment horizontal="center" vertical="center"/>
    </xf>
    <xf numFmtId="0" fontId="14" fillId="2" borderId="0" xfId="22" applyFont="1" applyFill="1" applyAlignment="1">
      <alignment horizontal="left" vertical="center"/>
    </xf>
    <xf numFmtId="0" fontId="14" fillId="2" borderId="0" xfId="22" applyFont="1" applyFill="1" applyAlignment="1">
      <alignment horizontal="center" vertical="center" wrapText="1"/>
    </xf>
    <xf numFmtId="0" fontId="14" fillId="2" borderId="0" xfId="22" applyFont="1" applyFill="1" applyAlignment="1">
      <alignment wrapText="1"/>
    </xf>
    <xf numFmtId="0" fontId="14" fillId="2" borderId="0" xfId="22" applyFont="1" applyFill="1" applyAlignment="1">
      <alignment horizontal="left" wrapText="1"/>
    </xf>
    <xf numFmtId="0" fontId="14" fillId="2" borderId="0" xfId="22" applyFont="1" applyFill="1" applyAlignment="1">
      <alignment horizontal="center" vertical="center"/>
    </xf>
    <xf numFmtId="0" fontId="18" fillId="0" borderId="2" xfId="22" applyFont="1" applyFill="1" applyBorder="1" applyAlignment="1">
      <alignment horizontal="left" vertical="center"/>
    </xf>
    <xf numFmtId="0" fontId="15" fillId="0" borderId="2" xfId="22" applyFont="1" applyFill="1" applyBorder="1" applyAlignment="1">
      <alignment horizontal="center" vertical="center"/>
    </xf>
    <xf numFmtId="4" fontId="15" fillId="0" borderId="2" xfId="22" applyNumberFormat="1" applyFont="1" applyFill="1" applyBorder="1" applyAlignment="1">
      <alignment horizontal="right" vertical="center"/>
    </xf>
    <xf numFmtId="3" fontId="15" fillId="0" borderId="2" xfId="22" applyNumberFormat="1" applyFont="1" applyFill="1" applyBorder="1" applyAlignment="1">
      <alignment horizontal="right" vertical="center"/>
    </xf>
    <xf numFmtId="1" fontId="15" fillId="0" borderId="2" xfId="22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8" fillId="4" borderId="3" xfId="22" applyFont="1" applyFill="1" applyBorder="1" applyAlignment="1">
      <alignment horizontal="left" vertical="center"/>
    </xf>
    <xf numFmtId="0" fontId="15" fillId="4" borderId="7" xfId="22" applyFont="1" applyFill="1" applyBorder="1" applyAlignment="1">
      <alignment horizontal="left" vertical="center"/>
    </xf>
    <xf numFmtId="0" fontId="15" fillId="4" borderId="7" xfId="22" applyFont="1" applyFill="1" applyBorder="1" applyAlignment="1">
      <alignment horizontal="left" vertical="center" wrapText="1"/>
    </xf>
    <xf numFmtId="0" fontId="15" fillId="4" borderId="7" xfId="22" applyFont="1" applyFill="1" applyBorder="1" applyAlignment="1">
      <alignment horizontal="center" vertical="center"/>
    </xf>
    <xf numFmtId="0" fontId="15" fillId="4" borderId="7" xfId="22" applyFont="1" applyFill="1" applyBorder="1" applyAlignment="1">
      <alignment vertical="center"/>
    </xf>
    <xf numFmtId="3" fontId="15" fillId="4" borderId="7" xfId="22" applyNumberFormat="1" applyFont="1" applyFill="1" applyBorder="1" applyAlignment="1">
      <alignment vertical="center"/>
    </xf>
    <xf numFmtId="0" fontId="15" fillId="4" borderId="8" xfId="22" applyFont="1" applyFill="1" applyBorder="1" applyAlignment="1">
      <alignment vertical="center"/>
    </xf>
    <xf numFmtId="0" fontId="14" fillId="4" borderId="0" xfId="22" applyFont="1" applyFill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4" fontId="16" fillId="0" borderId="2" xfId="0" applyNumberFormat="1" applyFont="1" applyFill="1" applyBorder="1" applyAlignment="1">
      <alignment horizontal="left" vertical="center"/>
    </xf>
    <xf numFmtId="3" fontId="16" fillId="0" borderId="2" xfId="0" applyNumberFormat="1" applyFont="1" applyFill="1" applyBorder="1" applyAlignment="1">
      <alignment horizontal="left" vertical="center"/>
    </xf>
    <xf numFmtId="3" fontId="16" fillId="0" borderId="2" xfId="2" applyNumberFormat="1" applyFont="1" applyFill="1" applyBorder="1" applyAlignment="1">
      <alignment horizontal="left" vertical="center" indent="1"/>
    </xf>
    <xf numFmtId="49" fontId="16" fillId="0" borderId="2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6" fillId="0" borderId="2" xfId="3" applyFont="1" applyFill="1" applyBorder="1" applyAlignment="1">
      <alignment horizontal="left" vertical="center" wrapText="1"/>
    </xf>
    <xf numFmtId="0" fontId="16" fillId="0" borderId="2" xfId="3" applyNumberFormat="1" applyFont="1" applyBorder="1" applyAlignment="1">
      <alignment horizontal="left" wrapText="1"/>
    </xf>
    <xf numFmtId="1" fontId="16" fillId="0" borderId="2" xfId="2" applyNumberFormat="1" applyFont="1" applyBorder="1" applyAlignment="1">
      <alignment horizontal="left"/>
    </xf>
    <xf numFmtId="4" fontId="16" fillId="0" borderId="2" xfId="2" applyNumberFormat="1" applyFont="1" applyFill="1" applyBorder="1" applyAlignment="1">
      <alignment horizontal="left" vertical="center"/>
    </xf>
    <xf numFmtId="3" fontId="16" fillId="0" borderId="2" xfId="2" applyNumberFormat="1" applyFont="1" applyBorder="1" applyAlignment="1">
      <alignment horizontal="left"/>
    </xf>
    <xf numFmtId="0" fontId="16" fillId="0" borderId="2" xfId="3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49" fontId="16" fillId="2" borderId="2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4" fontId="16" fillId="2" borderId="2" xfId="0" applyNumberFormat="1" applyFont="1" applyFill="1" applyBorder="1" applyAlignment="1">
      <alignment horizontal="left" vertical="center"/>
    </xf>
    <xf numFmtId="3" fontId="16" fillId="2" borderId="2" xfId="0" applyNumberFormat="1" applyFont="1" applyFill="1" applyBorder="1" applyAlignment="1">
      <alignment horizontal="left" vertical="center"/>
    </xf>
    <xf numFmtId="3" fontId="16" fillId="2" borderId="2" xfId="2" applyNumberFormat="1" applyFont="1" applyFill="1" applyBorder="1" applyAlignment="1">
      <alignment horizontal="left" vertical="center" indent="1"/>
    </xf>
    <xf numFmtId="49" fontId="16" fillId="2" borderId="2" xfId="0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1" fontId="16" fillId="0" borderId="2" xfId="2" applyNumberFormat="1" applyFont="1" applyFill="1" applyBorder="1" applyAlignment="1">
      <alignment horizontal="left" vertical="center"/>
    </xf>
    <xf numFmtId="3" fontId="16" fillId="0" borderId="2" xfId="2" applyNumberFormat="1" applyFont="1" applyFill="1" applyBorder="1" applyAlignment="1">
      <alignment horizontal="left" vertical="center"/>
    </xf>
    <xf numFmtId="1" fontId="12" fillId="0" borderId="17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left" vertical="center"/>
    </xf>
    <xf numFmtId="3" fontId="12" fillId="0" borderId="17" xfId="0" applyNumberFormat="1" applyFont="1" applyFill="1" applyBorder="1" applyAlignment="1">
      <alignment horizontal="left" vertical="center"/>
    </xf>
    <xf numFmtId="3" fontId="12" fillId="2" borderId="17" xfId="2" applyNumberFormat="1" applyFont="1" applyFill="1" applyBorder="1" applyAlignment="1">
      <alignment horizontal="left" vertical="center" indent="1"/>
    </xf>
    <xf numFmtId="0" fontId="12" fillId="0" borderId="17" xfId="0" quotePrefix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2" fillId="4" borderId="3" xfId="22" applyFont="1" applyFill="1" applyBorder="1" applyAlignment="1">
      <alignment horizontal="left" vertical="center"/>
    </xf>
    <xf numFmtId="0" fontId="12" fillId="4" borderId="4" xfId="1" applyFont="1" applyFill="1" applyBorder="1" applyAlignment="1">
      <alignment vertical="center" wrapText="1"/>
    </xf>
    <xf numFmtId="0" fontId="12" fillId="4" borderId="4" xfId="1" applyFont="1" applyFill="1" applyBorder="1" applyAlignment="1">
      <alignment vertical="center"/>
    </xf>
    <xf numFmtId="0" fontId="12" fillId="4" borderId="5" xfId="1" applyFont="1" applyFill="1" applyBorder="1" applyAlignment="1">
      <alignment horizontal="center" vertical="center"/>
    </xf>
    <xf numFmtId="0" fontId="20" fillId="4" borderId="0" xfId="1" applyFont="1" applyFill="1"/>
    <xf numFmtId="0" fontId="5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righ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2" applyFont="1" applyFill="1" applyBorder="1" applyAlignment="1">
      <alignment horizontal="left" vertical="center" wrapText="1"/>
    </xf>
    <xf numFmtId="4" fontId="16" fillId="0" borderId="2" xfId="2" applyNumberFormat="1" applyFont="1" applyFill="1" applyBorder="1" applyAlignment="1">
      <alignment horizontal="center" vertical="center"/>
    </xf>
    <xf numFmtId="3" fontId="16" fillId="0" borderId="2" xfId="2" applyNumberFormat="1" applyFont="1" applyFill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3" fontId="16" fillId="0" borderId="2" xfId="3" applyNumberFormat="1" applyFont="1" applyFill="1" applyBorder="1" applyAlignment="1">
      <alignment horizontal="center" vertical="center"/>
    </xf>
    <xf numFmtId="4" fontId="16" fillId="0" borderId="2" xfId="3" applyNumberFormat="1" applyFont="1" applyBorder="1" applyAlignment="1">
      <alignment horizontal="center" vertical="center"/>
    </xf>
    <xf numFmtId="4" fontId="16" fillId="0" borderId="2" xfId="3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/>
    <xf numFmtId="0" fontId="19" fillId="0" borderId="0" xfId="1" applyFont="1" applyFill="1"/>
    <xf numFmtId="0" fontId="19" fillId="0" borderId="0" xfId="1" applyFont="1"/>
    <xf numFmtId="0" fontId="12" fillId="0" borderId="0" xfId="0" applyFont="1"/>
    <xf numFmtId="0" fontId="16" fillId="0" borderId="0" xfId="0" applyFont="1"/>
    <xf numFmtId="0" fontId="12" fillId="0" borderId="0" xfId="0" applyFont="1" applyFill="1"/>
    <xf numFmtId="0" fontId="16" fillId="0" borderId="0" xfId="0" applyFont="1" applyFill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2" fillId="0" borderId="10" xfId="3" applyFont="1" applyBorder="1" applyAlignment="1">
      <alignment horizontal="center" vertical="center" wrapText="1"/>
    </xf>
    <xf numFmtId="3" fontId="12" fillId="0" borderId="10" xfId="3" applyNumberFormat="1" applyFont="1" applyFill="1" applyBorder="1" applyAlignment="1">
      <alignment horizontal="center" vertical="center"/>
    </xf>
    <xf numFmtId="3" fontId="12" fillId="0" borderId="10" xfId="3" applyNumberFormat="1" applyFont="1" applyBorder="1" applyAlignment="1">
      <alignment horizontal="center" vertical="center"/>
    </xf>
    <xf numFmtId="4" fontId="12" fillId="0" borderId="10" xfId="3" applyNumberFormat="1" applyFont="1" applyBorder="1" applyAlignment="1">
      <alignment horizontal="center" vertical="center"/>
    </xf>
    <xf numFmtId="4" fontId="12" fillId="0" borderId="10" xfId="3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4" fontId="16" fillId="0" borderId="13" xfId="0" applyNumberFormat="1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left" vertical="center"/>
    </xf>
    <xf numFmtId="0" fontId="11" fillId="0" borderId="0" xfId="1" applyFont="1" applyFill="1" applyBorder="1" applyAlignment="1"/>
    <xf numFmtId="4" fontId="16" fillId="2" borderId="2" xfId="2" applyNumberFormat="1" applyFont="1" applyFill="1" applyBorder="1" applyAlignment="1">
      <alignment horizontal="left"/>
    </xf>
    <xf numFmtId="3" fontId="16" fillId="2" borderId="2" xfId="2" applyNumberFormat="1" applyFont="1" applyFill="1" applyBorder="1" applyAlignment="1">
      <alignment horizontal="center"/>
    </xf>
    <xf numFmtId="4" fontId="16" fillId="2" borderId="6" xfId="0" applyNumberFormat="1" applyFont="1" applyFill="1" applyBorder="1" applyAlignment="1">
      <alignment horizontal="left" vertical="center"/>
    </xf>
    <xf numFmtId="4" fontId="17" fillId="2" borderId="2" xfId="2" applyNumberFormat="1" applyFont="1" applyFill="1" applyBorder="1" applyAlignment="1">
      <alignment horizontal="left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left" vertical="center" wrapText="1"/>
    </xf>
    <xf numFmtId="0" fontId="16" fillId="2" borderId="0" xfId="0" applyFont="1" applyFill="1"/>
    <xf numFmtId="0" fontId="15" fillId="4" borderId="28" xfId="22" applyFont="1" applyFill="1" applyBorder="1" applyAlignment="1">
      <alignment vertical="center"/>
    </xf>
    <xf numFmtId="4" fontId="14" fillId="0" borderId="20" xfId="0" applyNumberFormat="1" applyFont="1" applyFill="1" applyBorder="1" applyAlignment="1">
      <alignment horizontal="right" vertical="center"/>
    </xf>
    <xf numFmtId="4" fontId="14" fillId="2" borderId="20" xfId="0" applyNumberFormat="1" applyFont="1" applyFill="1" applyBorder="1" applyAlignment="1">
      <alignment horizontal="right" vertical="center"/>
    </xf>
    <xf numFmtId="0" fontId="15" fillId="2" borderId="2" xfId="22" applyFont="1" applyFill="1" applyBorder="1" applyAlignment="1">
      <alignment horizontal="center" vertical="center"/>
    </xf>
    <xf numFmtId="4" fontId="14" fillId="2" borderId="2" xfId="2" applyNumberFormat="1" applyFont="1" applyFill="1" applyBorder="1" applyAlignment="1">
      <alignment horizontal="right" vertical="center"/>
    </xf>
    <xf numFmtId="4" fontId="15" fillId="2" borderId="2" xfId="22" applyNumberFormat="1" applyFont="1" applyFill="1" applyBorder="1" applyAlignment="1">
      <alignment horizontal="right" vertical="center"/>
    </xf>
    <xf numFmtId="3" fontId="15" fillId="2" borderId="2" xfId="22" applyNumberFormat="1" applyFont="1" applyFill="1" applyBorder="1" applyAlignment="1">
      <alignment horizontal="right" vertical="center"/>
    </xf>
    <xf numFmtId="1" fontId="15" fillId="2" borderId="2" xfId="22" applyNumberFormat="1" applyFont="1" applyFill="1" applyBorder="1" applyAlignment="1">
      <alignment horizontal="right" vertical="center"/>
    </xf>
    <xf numFmtId="4" fontId="14" fillId="2" borderId="2" xfId="22" applyNumberFormat="1" applyFont="1" applyFill="1" applyBorder="1" applyAlignment="1">
      <alignment horizontal="right" vertical="center"/>
    </xf>
    <xf numFmtId="0" fontId="14" fillId="2" borderId="2" xfId="22" applyFont="1" applyFill="1" applyBorder="1"/>
    <xf numFmtId="0" fontId="16" fillId="2" borderId="2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left"/>
    </xf>
    <xf numFmtId="1" fontId="16" fillId="2" borderId="2" xfId="2" applyNumberFormat="1" applyFont="1" applyFill="1" applyBorder="1" applyAlignment="1">
      <alignment horizontal="left"/>
    </xf>
    <xf numFmtId="4" fontId="16" fillId="2" borderId="2" xfId="2" applyNumberFormat="1" applyFont="1" applyFill="1" applyBorder="1" applyAlignment="1">
      <alignment horizontal="left" vertical="center"/>
    </xf>
    <xf numFmtId="3" fontId="16" fillId="2" borderId="2" xfId="2" applyNumberFormat="1" applyFont="1" applyFill="1" applyBorder="1" applyAlignment="1">
      <alignment horizontal="left"/>
    </xf>
    <xf numFmtId="4" fontId="16" fillId="2" borderId="33" xfId="0" applyNumberFormat="1" applyFont="1" applyFill="1" applyBorder="1" applyAlignment="1">
      <alignment horizontal="left" vertical="center"/>
    </xf>
    <xf numFmtId="0" fontId="14" fillId="0" borderId="0" xfId="22" applyFont="1" applyFill="1" applyAlignment="1">
      <alignment horizontal="right" vertical="center" wrapText="1"/>
    </xf>
    <xf numFmtId="0" fontId="14" fillId="0" borderId="2" xfId="22" applyFont="1" applyFill="1" applyBorder="1" applyAlignment="1">
      <alignment horizontal="center" vertical="center" textRotation="90" wrapText="1"/>
    </xf>
    <xf numFmtId="0" fontId="14" fillId="0" borderId="2" xfId="22" applyFont="1" applyFill="1" applyBorder="1" applyAlignment="1">
      <alignment horizontal="center" vertical="center" wrapText="1"/>
    </xf>
    <xf numFmtId="4" fontId="14" fillId="2" borderId="35" xfId="0" applyNumberFormat="1" applyFont="1" applyFill="1" applyBorder="1" applyAlignment="1">
      <alignment horizontal="right" vertical="center"/>
    </xf>
    <xf numFmtId="0" fontId="17" fillId="2" borderId="2" xfId="3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/>
    </xf>
    <xf numFmtId="1" fontId="17" fillId="2" borderId="2" xfId="2" applyNumberFormat="1" applyFont="1" applyFill="1" applyBorder="1" applyAlignment="1">
      <alignment horizontal="left"/>
    </xf>
    <xf numFmtId="3" fontId="17" fillId="2" borderId="2" xfId="2" applyNumberFormat="1" applyFont="1" applyFill="1" applyBorder="1" applyAlignment="1">
      <alignment horizontal="left"/>
    </xf>
    <xf numFmtId="0" fontId="19" fillId="2" borderId="0" xfId="0" applyFont="1" applyFill="1"/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3" fillId="2" borderId="2" xfId="3" applyNumberFormat="1" applyFont="1" applyFill="1" applyBorder="1" applyAlignment="1">
      <alignment horizontal="left" vertical="center"/>
    </xf>
    <xf numFmtId="1" fontId="17" fillId="2" borderId="2" xfId="2" applyNumberFormat="1" applyFont="1" applyFill="1" applyBorder="1" applyAlignment="1">
      <alignment horizontal="left" vertical="center"/>
    </xf>
    <xf numFmtId="165" fontId="17" fillId="2" borderId="2" xfId="2" applyNumberFormat="1" applyFont="1" applyFill="1" applyBorder="1" applyAlignment="1">
      <alignment horizontal="left" vertical="center"/>
    </xf>
    <xf numFmtId="3" fontId="17" fillId="2" borderId="2" xfId="2" applyNumberFormat="1" applyFont="1" applyFill="1" applyBorder="1" applyAlignment="1">
      <alignment horizontal="left" vertical="center"/>
    </xf>
    <xf numFmtId="0" fontId="20" fillId="2" borderId="0" xfId="1" applyFont="1" applyFill="1"/>
    <xf numFmtId="0" fontId="19" fillId="2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left" vertical="center"/>
    </xf>
    <xf numFmtId="1" fontId="19" fillId="2" borderId="2" xfId="29" applyNumberFormat="1" applyFont="1" applyFill="1" applyBorder="1" applyAlignment="1">
      <alignment horizontal="left" vertical="center"/>
    </xf>
    <xf numFmtId="3" fontId="16" fillId="2" borderId="2" xfId="0" applyNumberFormat="1" applyFont="1" applyFill="1" applyBorder="1" applyAlignment="1">
      <alignment horizontal="center" vertical="center"/>
    </xf>
    <xf numFmtId="165" fontId="19" fillId="2" borderId="2" xfId="3" applyNumberFormat="1" applyFont="1" applyFill="1" applyBorder="1" applyAlignment="1">
      <alignment horizontal="left" vertical="center"/>
    </xf>
    <xf numFmtId="4" fontId="16" fillId="2" borderId="32" xfId="0" applyNumberFormat="1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4" fontId="17" fillId="2" borderId="2" xfId="2" applyNumberFormat="1" applyFont="1" applyFill="1" applyBorder="1" applyAlignment="1">
      <alignment horizontal="left" vertical="center"/>
    </xf>
    <xf numFmtId="0" fontId="16" fillId="2" borderId="18" xfId="3" applyFont="1" applyFill="1" applyBorder="1" applyAlignment="1">
      <alignment horizontal="left" vertical="center" wrapText="1"/>
    </xf>
    <xf numFmtId="4" fontId="16" fillId="2" borderId="24" xfId="0" applyNumberFormat="1" applyFont="1" applyFill="1" applyBorder="1" applyAlignment="1">
      <alignment horizontal="left" vertical="center"/>
    </xf>
    <xf numFmtId="0" fontId="17" fillId="2" borderId="2" xfId="3" applyFont="1" applyFill="1" applyBorder="1" applyAlignment="1">
      <alignment horizontal="right" vertical="center" wrapText="1"/>
    </xf>
    <xf numFmtId="0" fontId="16" fillId="2" borderId="2" xfId="3" applyNumberFormat="1" applyFont="1" applyFill="1" applyBorder="1" applyAlignment="1">
      <alignment horizontal="left" vertical="center"/>
    </xf>
    <xf numFmtId="165" fontId="16" fillId="2" borderId="2" xfId="2" applyNumberFormat="1" applyFont="1" applyFill="1" applyBorder="1" applyAlignment="1">
      <alignment horizontal="left"/>
    </xf>
    <xf numFmtId="165" fontId="16" fillId="2" borderId="2" xfId="2" applyNumberFormat="1" applyFont="1" applyFill="1" applyBorder="1" applyAlignment="1">
      <alignment horizontal="left" vertical="center"/>
    </xf>
    <xf numFmtId="3" fontId="16" fillId="2" borderId="2" xfId="2" applyNumberFormat="1" applyFont="1" applyFill="1" applyBorder="1" applyAlignment="1">
      <alignment horizontal="left" vertical="center"/>
    </xf>
    <xf numFmtId="0" fontId="16" fillId="2" borderId="2" xfId="3" applyFont="1" applyFill="1" applyBorder="1" applyAlignment="1">
      <alignment horizontal="left" vertical="center"/>
    </xf>
    <xf numFmtId="4" fontId="16" fillId="2" borderId="25" xfId="0" applyNumberFormat="1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wrapText="1"/>
    </xf>
    <xf numFmtId="0" fontId="17" fillId="2" borderId="2" xfId="3" applyFont="1" applyFill="1" applyBorder="1" applyAlignment="1">
      <alignment vertical="center" wrapText="1"/>
    </xf>
    <xf numFmtId="1" fontId="16" fillId="2" borderId="2" xfId="2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right" vertical="center" indent="1"/>
    </xf>
    <xf numFmtId="3" fontId="11" fillId="0" borderId="10" xfId="0" applyNumberFormat="1" applyFont="1" applyFill="1" applyBorder="1" applyAlignment="1">
      <alignment horizontal="right" vertical="center" indent="1"/>
    </xf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wrapText="1"/>
    </xf>
    <xf numFmtId="1" fontId="12" fillId="0" borderId="13" xfId="0" applyNumberFormat="1" applyFont="1" applyFill="1" applyBorder="1" applyAlignment="1">
      <alignment horizontal="center"/>
    </xf>
    <xf numFmtId="4" fontId="12" fillId="0" borderId="13" xfId="0" applyNumberFormat="1" applyFont="1" applyFill="1" applyBorder="1" applyAlignment="1">
      <alignment horizontal="left" vertical="center"/>
    </xf>
    <xf numFmtId="3" fontId="12" fillId="0" borderId="13" xfId="0" applyNumberFormat="1" applyFont="1" applyFill="1" applyBorder="1" applyAlignment="1">
      <alignment horizontal="left" vertical="center"/>
    </xf>
    <xf numFmtId="3" fontId="12" fillId="2" borderId="13" xfId="2" applyNumberFormat="1" applyFont="1" applyFill="1" applyBorder="1" applyAlignment="1">
      <alignment horizontal="center"/>
    </xf>
    <xf numFmtId="0" fontId="12" fillId="0" borderId="13" xfId="0" quotePrefix="1" applyFont="1" applyFill="1" applyBorder="1" applyAlignment="1">
      <alignment horizontal="center" vertical="center"/>
    </xf>
    <xf numFmtId="0" fontId="24" fillId="0" borderId="14" xfId="1" applyFont="1" applyFill="1" applyBorder="1"/>
    <xf numFmtId="49" fontId="17" fillId="2" borderId="2" xfId="3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4" fontId="14" fillId="2" borderId="20" xfId="2" applyNumberFormat="1" applyFont="1" applyFill="1" applyBorder="1" applyAlignment="1">
      <alignment horizontal="right" vertical="center"/>
    </xf>
    <xf numFmtId="3" fontId="14" fillId="2" borderId="20" xfId="0" applyNumberFormat="1" applyFont="1" applyFill="1" applyBorder="1" applyAlignment="1">
      <alignment horizontal="right" vertical="center"/>
    </xf>
    <xf numFmtId="3" fontId="14" fillId="2" borderId="2" xfId="22" applyNumberFormat="1" applyFont="1" applyFill="1" applyBorder="1" applyAlignment="1">
      <alignment horizontal="right" vertical="center"/>
    </xf>
    <xf numFmtId="0" fontId="14" fillId="2" borderId="2" xfId="3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/>
    </xf>
    <xf numFmtId="4" fontId="14" fillId="2" borderId="10" xfId="2" applyNumberFormat="1" applyFont="1" applyFill="1" applyBorder="1" applyAlignment="1">
      <alignment horizontal="right" vertical="center"/>
    </xf>
    <xf numFmtId="0" fontId="14" fillId="2" borderId="2" xfId="22" applyFont="1" applyFill="1" applyBorder="1" applyAlignment="1">
      <alignment horizontal="center" vertical="center"/>
    </xf>
    <xf numFmtId="4" fontId="14" fillId="2" borderId="2" xfId="22" applyNumberFormat="1" applyFont="1" applyFill="1" applyBorder="1" applyAlignment="1">
      <alignment horizontal="center" vertical="center"/>
    </xf>
    <xf numFmtId="1" fontId="14" fillId="2" borderId="2" xfId="22" applyNumberFormat="1" applyFont="1" applyFill="1" applyBorder="1" applyAlignment="1">
      <alignment horizontal="right" vertical="center"/>
    </xf>
    <xf numFmtId="0" fontId="14" fillId="2" borderId="19" xfId="22" applyFont="1" applyFill="1" applyBorder="1"/>
    <xf numFmtId="0" fontId="14" fillId="2" borderId="35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/>
    </xf>
    <xf numFmtId="4" fontId="14" fillId="2" borderId="35" xfId="2" applyNumberFormat="1" applyFont="1" applyFill="1" applyBorder="1" applyAlignment="1">
      <alignment horizontal="right" vertical="center"/>
    </xf>
    <xf numFmtId="3" fontId="14" fillId="2" borderId="35" xfId="0" applyNumberFormat="1" applyFont="1" applyFill="1" applyBorder="1" applyAlignment="1">
      <alignment horizontal="right" vertical="center"/>
    </xf>
    <xf numFmtId="4" fontId="14" fillId="2" borderId="35" xfId="3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0" fontId="14" fillId="2" borderId="2" xfId="1" applyFont="1" applyFill="1" applyBorder="1" applyAlignment="1"/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8" fillId="4" borderId="16" xfId="22" applyFont="1" applyFill="1" applyBorder="1" applyAlignment="1">
      <alignment horizontal="left" vertical="center"/>
    </xf>
    <xf numFmtId="0" fontId="15" fillId="4" borderId="0" xfId="22" applyFont="1" applyFill="1" applyBorder="1" applyAlignment="1">
      <alignment horizontal="left" vertical="center"/>
    </xf>
    <xf numFmtId="0" fontId="15" fillId="4" borderId="0" xfId="22" applyFont="1" applyFill="1" applyBorder="1" applyAlignment="1">
      <alignment horizontal="left" vertical="center" wrapText="1"/>
    </xf>
    <xf numFmtId="0" fontId="15" fillId="4" borderId="0" xfId="22" applyFont="1" applyFill="1" applyBorder="1" applyAlignment="1">
      <alignment horizontal="center" vertical="center"/>
    </xf>
    <xf numFmtId="4" fontId="15" fillId="4" borderId="0" xfId="22" applyNumberFormat="1" applyFont="1" applyFill="1" applyBorder="1" applyAlignment="1">
      <alignment horizontal="right" vertical="center"/>
    </xf>
    <xf numFmtId="3" fontId="15" fillId="4" borderId="0" xfId="22" applyNumberFormat="1" applyFont="1" applyFill="1" applyBorder="1" applyAlignment="1">
      <alignment horizontal="right" vertical="center"/>
    </xf>
    <xf numFmtId="1" fontId="15" fillId="4" borderId="0" xfId="22" applyNumberFormat="1" applyFont="1" applyFill="1" applyBorder="1" applyAlignment="1">
      <alignment horizontal="right" vertical="center"/>
    </xf>
    <xf numFmtId="0" fontId="25" fillId="0" borderId="0" xfId="22" applyFont="1" applyFill="1"/>
    <xf numFmtId="4" fontId="14" fillId="0" borderId="2" xfId="0" applyNumberFormat="1" applyFont="1" applyBorder="1" applyAlignment="1">
      <alignment horizontal="center" vertical="center"/>
    </xf>
    <xf numFmtId="0" fontId="25" fillId="0" borderId="7" xfId="22" applyFont="1" applyFill="1" applyBorder="1"/>
    <xf numFmtId="4" fontId="14" fillId="2" borderId="10" xfId="0" applyNumberFormat="1" applyFont="1" applyFill="1" applyBorder="1" applyAlignment="1">
      <alignment horizontal="center" vertical="center"/>
    </xf>
    <xf numFmtId="0" fontId="25" fillId="2" borderId="0" xfId="22" applyFont="1" applyFill="1"/>
    <xf numFmtId="0" fontId="25" fillId="2" borderId="2" xfId="22" applyFont="1" applyFill="1" applyBorder="1"/>
    <xf numFmtId="4" fontId="14" fillId="0" borderId="2" xfId="0" applyNumberFormat="1" applyFont="1" applyFill="1" applyBorder="1" applyAlignment="1">
      <alignment horizontal="left" vertical="center"/>
    </xf>
    <xf numFmtId="4" fontId="14" fillId="0" borderId="2" xfId="0" applyNumberFormat="1" applyFont="1" applyFill="1" applyBorder="1" applyAlignment="1">
      <alignment vertical="center"/>
    </xf>
    <xf numFmtId="0" fontId="25" fillId="0" borderId="2" xfId="22" applyFont="1" applyFill="1" applyBorder="1"/>
    <xf numFmtId="4" fontId="14" fillId="0" borderId="15" xfId="0" applyNumberFormat="1" applyFont="1" applyFill="1" applyBorder="1" applyAlignment="1">
      <alignment vertical="center"/>
    </xf>
    <xf numFmtId="0" fontId="25" fillId="0" borderId="0" xfId="22" applyFont="1" applyFill="1" applyBorder="1"/>
    <xf numFmtId="4" fontId="15" fillId="0" borderId="13" xfId="0" applyNumberFormat="1" applyFont="1" applyFill="1" applyBorder="1" applyAlignment="1">
      <alignment vertical="center"/>
    </xf>
    <xf numFmtId="0" fontId="26" fillId="0" borderId="13" xfId="22" applyFont="1" applyFill="1" applyBorder="1"/>
    <xf numFmtId="4" fontId="15" fillId="0" borderId="0" xfId="0" applyNumberFormat="1" applyFont="1" applyFill="1" applyBorder="1" applyAlignment="1">
      <alignment vertical="center"/>
    </xf>
    <xf numFmtId="0" fontId="26" fillId="0" borderId="0" xfId="22" applyFont="1" applyFill="1" applyBorder="1"/>
    <xf numFmtId="0" fontId="14" fillId="2" borderId="2" xfId="3" applyFont="1" applyFill="1" applyBorder="1" applyAlignment="1">
      <alignment horizontal="left" vertical="center" wrapText="1"/>
    </xf>
    <xf numFmtId="4" fontId="14" fillId="2" borderId="16" xfId="2" applyNumberFormat="1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/>
    </xf>
    <xf numFmtId="0" fontId="27" fillId="2" borderId="2" xfId="0" applyFont="1" applyFill="1" applyBorder="1" applyAlignment="1">
      <alignment horizontal="right"/>
    </xf>
    <xf numFmtId="3" fontId="14" fillId="2" borderId="2" xfId="3" applyNumberFormat="1" applyFont="1" applyFill="1" applyBorder="1" applyAlignment="1">
      <alignment horizontal="center" vertical="center" wrapText="1"/>
    </xf>
    <xf numFmtId="4" fontId="14" fillId="2" borderId="2" xfId="2" applyNumberFormat="1" applyFont="1" applyFill="1" applyBorder="1" applyAlignment="1">
      <alignment horizontal="center"/>
    </xf>
    <xf numFmtId="4" fontId="14" fillId="2" borderId="2" xfId="3" applyNumberFormat="1" applyFont="1" applyFill="1" applyBorder="1" applyAlignment="1">
      <alignment horizontal="center" vertical="center" wrapText="1"/>
    </xf>
    <xf numFmtId="4" fontId="14" fillId="2" borderId="2" xfId="3" applyNumberFormat="1" applyFont="1" applyFill="1" applyBorder="1" applyAlignment="1">
      <alignment horizontal="right" vertical="center" wrapText="1"/>
    </xf>
    <xf numFmtId="2" fontId="14" fillId="2" borderId="2" xfId="2" applyNumberFormat="1" applyFont="1" applyFill="1" applyBorder="1" applyAlignment="1">
      <alignment horizontal="center"/>
    </xf>
    <xf numFmtId="4" fontId="14" fillId="2" borderId="25" xfId="2" applyNumberFormat="1" applyFont="1" applyFill="1" applyBorder="1" applyAlignment="1">
      <alignment horizontal="center" vertical="center"/>
    </xf>
    <xf numFmtId="4" fontId="14" fillId="2" borderId="24" xfId="2" applyNumberFormat="1" applyFont="1" applyFill="1" applyBorder="1" applyAlignment="1">
      <alignment horizontal="right" vertical="center"/>
    </xf>
    <xf numFmtId="4" fontId="14" fillId="2" borderId="12" xfId="0" applyNumberFormat="1" applyFont="1" applyFill="1" applyBorder="1" applyAlignment="1">
      <alignment horizontal="center" vertical="center"/>
    </xf>
    <xf numFmtId="4" fontId="14" fillId="2" borderId="35" xfId="0" applyNumberFormat="1" applyFont="1" applyFill="1" applyBorder="1" applyAlignment="1">
      <alignment horizontal="center" vertical="center"/>
    </xf>
    <xf numFmtId="4" fontId="14" fillId="2" borderId="2" xfId="2" applyNumberFormat="1" applyFont="1" applyFill="1" applyBorder="1" applyAlignment="1">
      <alignment horizontal="center" vertical="center"/>
    </xf>
    <xf numFmtId="4" fontId="14" fillId="2" borderId="26" xfId="0" applyNumberFormat="1" applyFont="1" applyFill="1" applyBorder="1" applyAlignment="1">
      <alignment horizontal="center" vertical="center"/>
    </xf>
    <xf numFmtId="0" fontId="16" fillId="0" borderId="0" xfId="1" applyFont="1"/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right" vertical="center"/>
    </xf>
    <xf numFmtId="3" fontId="14" fillId="0" borderId="10" xfId="0" applyNumberFormat="1" applyFont="1" applyFill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 wrapText="1"/>
    </xf>
    <xf numFmtId="49" fontId="14" fillId="0" borderId="9" xfId="0" applyNumberFormat="1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right" vertical="center"/>
    </xf>
    <xf numFmtId="4" fontId="14" fillId="0" borderId="9" xfId="0" applyNumberFormat="1" applyFont="1" applyFill="1" applyBorder="1" applyAlignment="1">
      <alignment horizontal="left" vertical="center"/>
    </xf>
    <xf numFmtId="0" fontId="25" fillId="0" borderId="9" xfId="22" applyFont="1" applyFill="1" applyBorder="1"/>
    <xf numFmtId="4" fontId="14" fillId="0" borderId="9" xfId="3" applyNumberFormat="1" applyFont="1" applyFill="1" applyBorder="1" applyAlignment="1">
      <alignment horizontal="right" vertical="center"/>
    </xf>
    <xf numFmtId="0" fontId="16" fillId="2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4" fontId="16" fillId="2" borderId="20" xfId="0" applyNumberFormat="1" applyFont="1" applyFill="1" applyBorder="1" applyAlignment="1">
      <alignment horizontal="left" vertical="center"/>
    </xf>
    <xf numFmtId="3" fontId="16" fillId="2" borderId="20" xfId="0" applyNumberFormat="1" applyFont="1" applyFill="1" applyBorder="1" applyAlignment="1">
      <alignment horizontal="left" vertical="center"/>
    </xf>
    <xf numFmtId="3" fontId="16" fillId="2" borderId="20" xfId="2" applyNumberFormat="1" applyFont="1" applyFill="1" applyBorder="1" applyAlignment="1">
      <alignment horizontal="left" vertical="center" indent="1"/>
    </xf>
    <xf numFmtId="49" fontId="16" fillId="2" borderId="20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1" fontId="16" fillId="2" borderId="2" xfId="0" applyNumberFormat="1" applyFont="1" applyFill="1" applyBorder="1" applyAlignment="1">
      <alignment horizontal="left" vertical="center"/>
    </xf>
    <xf numFmtId="0" fontId="14" fillId="0" borderId="0" xfId="22" applyFont="1" applyFill="1" applyAlignment="1">
      <alignment horizontal="right" vertical="center" wrapText="1"/>
    </xf>
    <xf numFmtId="0" fontId="28" fillId="2" borderId="2" xfId="3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/>
    </xf>
    <xf numFmtId="0" fontId="28" fillId="2" borderId="2" xfId="3" applyFont="1" applyFill="1" applyBorder="1" applyAlignment="1">
      <alignment horizontal="center" vertical="center" wrapText="1"/>
    </xf>
    <xf numFmtId="3" fontId="28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9" fillId="2" borderId="0" xfId="0" applyFont="1" applyFill="1"/>
    <xf numFmtId="4" fontId="28" fillId="2" borderId="2" xfId="0" applyNumberFormat="1" applyFont="1" applyFill="1" applyBorder="1" applyAlignment="1">
      <alignment horizontal="center" vertical="center"/>
    </xf>
    <xf numFmtId="0" fontId="17" fillId="2" borderId="39" xfId="3" applyFont="1" applyFill="1" applyBorder="1" applyAlignment="1">
      <alignment horizontal="left" vertical="center" wrapText="1"/>
    </xf>
    <xf numFmtId="0" fontId="17" fillId="2" borderId="34" xfId="3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left" vertical="center"/>
    </xf>
    <xf numFmtId="0" fontId="14" fillId="4" borderId="2" xfId="22" applyFont="1" applyFill="1" applyBorder="1" applyAlignment="1">
      <alignment horizontal="left"/>
    </xf>
    <xf numFmtId="4" fontId="14" fillId="0" borderId="2" xfId="22" applyNumberFormat="1" applyFont="1" applyFill="1" applyBorder="1" applyAlignment="1">
      <alignment horizontal="right" vertical="center"/>
    </xf>
    <xf numFmtId="0" fontId="30" fillId="0" borderId="2" xfId="22" applyFont="1" applyFill="1" applyBorder="1" applyAlignment="1">
      <alignment horizontal="left" vertical="center"/>
    </xf>
    <xf numFmtId="3" fontId="14" fillId="0" borderId="2" xfId="22" applyNumberFormat="1" applyFont="1" applyFill="1" applyBorder="1" applyAlignment="1">
      <alignment horizontal="right" vertical="center"/>
    </xf>
    <xf numFmtId="1" fontId="14" fillId="0" borderId="2" xfId="22" applyNumberFormat="1" applyFont="1" applyFill="1" applyBorder="1" applyAlignment="1">
      <alignment horizontal="right" vertical="center"/>
    </xf>
    <xf numFmtId="0" fontId="14" fillId="0" borderId="2" xfId="22" applyFont="1" applyFill="1" applyBorder="1" applyAlignment="1">
      <alignment horizontal="left" vertical="center" wrapText="1"/>
    </xf>
    <xf numFmtId="0" fontId="32" fillId="0" borderId="2" xfId="22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left" vertical="center" wrapText="1"/>
    </xf>
    <xf numFmtId="0" fontId="31" fillId="0" borderId="2" xfId="0" applyFont="1" applyFill="1" applyBorder="1"/>
    <xf numFmtId="0" fontId="11" fillId="0" borderId="10" xfId="0" applyFont="1" applyFill="1" applyBorder="1" applyAlignment="1">
      <alignment horizontal="center" vertical="center" wrapText="1"/>
    </xf>
    <xf numFmtId="1" fontId="11" fillId="0" borderId="10" xfId="0" applyNumberFormat="1" applyFont="1" applyFill="1" applyBorder="1" applyAlignment="1">
      <alignment horizontal="center" vertical="center"/>
    </xf>
    <xf numFmtId="3" fontId="11" fillId="0" borderId="10" xfId="2" applyNumberFormat="1" applyFont="1" applyFill="1" applyBorder="1" applyAlignment="1">
      <alignment horizontal="right" vertical="center" indent="1"/>
    </xf>
    <xf numFmtId="4" fontId="11" fillId="0" borderId="10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wrapText="1"/>
    </xf>
    <xf numFmtId="1" fontId="12" fillId="0" borderId="10" xfId="0" applyNumberFormat="1" applyFont="1" applyFill="1" applyBorder="1" applyAlignment="1">
      <alignment horizontal="center"/>
    </xf>
    <xf numFmtId="4" fontId="12" fillId="0" borderId="10" xfId="0" applyNumberFormat="1" applyFont="1" applyFill="1" applyBorder="1" applyAlignment="1">
      <alignment horizontal="left" vertical="center"/>
    </xf>
    <xf numFmtId="3" fontId="12" fillId="0" borderId="10" xfId="0" applyNumberFormat="1" applyFont="1" applyFill="1" applyBorder="1" applyAlignment="1">
      <alignment horizontal="left" vertical="center"/>
    </xf>
    <xf numFmtId="3" fontId="12" fillId="2" borderId="10" xfId="2" applyNumberFormat="1" applyFont="1" applyFill="1" applyBorder="1" applyAlignment="1">
      <alignment horizontal="center"/>
    </xf>
    <xf numFmtId="0" fontId="12" fillId="0" borderId="10" xfId="0" quotePrefix="1" applyFont="1" applyFill="1" applyBorder="1" applyAlignment="1">
      <alignment horizontal="center" vertical="center"/>
    </xf>
    <xf numFmtId="0" fontId="24" fillId="0" borderId="10" xfId="1" applyFont="1" applyFill="1" applyBorder="1"/>
    <xf numFmtId="4" fontId="12" fillId="0" borderId="43" xfId="0" applyNumberFormat="1" applyFont="1" applyFill="1" applyBorder="1" applyAlignment="1">
      <alignment horizontal="left" vertical="center"/>
    </xf>
    <xf numFmtId="0" fontId="31" fillId="0" borderId="2" xfId="0" applyFont="1" applyFill="1" applyBorder="1" applyAlignment="1">
      <alignment vertical="center"/>
    </xf>
    <xf numFmtId="49" fontId="14" fillId="0" borderId="2" xfId="22" applyNumberFormat="1" applyFont="1" applyFill="1" applyBorder="1" applyAlignment="1">
      <alignment horizontal="center" vertical="center"/>
    </xf>
    <xf numFmtId="4" fontId="14" fillId="0" borderId="10" xfId="22" applyNumberFormat="1" applyFont="1" applyFill="1" applyBorder="1" applyAlignment="1">
      <alignment horizontal="right" vertical="center"/>
    </xf>
    <xf numFmtId="4" fontId="14" fillId="0" borderId="13" xfId="22" applyNumberFormat="1" applyFont="1" applyFill="1" applyBorder="1" applyAlignment="1">
      <alignment horizontal="right" vertical="center"/>
    </xf>
    <xf numFmtId="0" fontId="31" fillId="2" borderId="2" xfId="0" applyFont="1" applyFill="1" applyBorder="1" applyAlignment="1">
      <alignment vertical="center"/>
    </xf>
    <xf numFmtId="0" fontId="32" fillId="2" borderId="2" xfId="22" applyFont="1" applyFill="1" applyBorder="1" applyAlignment="1">
      <alignment horizontal="center" vertical="center"/>
    </xf>
    <xf numFmtId="0" fontId="30" fillId="2" borderId="2" xfId="22" applyFont="1" applyFill="1" applyBorder="1" applyAlignment="1">
      <alignment horizontal="left" vertical="center"/>
    </xf>
    <xf numFmtId="4" fontId="14" fillId="2" borderId="10" xfId="22" applyNumberFormat="1" applyFont="1" applyFill="1" applyBorder="1" applyAlignment="1">
      <alignment horizontal="right" vertical="center"/>
    </xf>
    <xf numFmtId="3" fontId="16" fillId="2" borderId="10" xfId="2" applyNumberFormat="1" applyFont="1" applyFill="1" applyBorder="1" applyAlignment="1">
      <alignment horizontal="center"/>
    </xf>
    <xf numFmtId="0" fontId="14" fillId="0" borderId="44" xfId="22" applyFont="1" applyFill="1" applyBorder="1" applyAlignment="1">
      <alignment horizontal="center" vertical="center"/>
    </xf>
    <xf numFmtId="4" fontId="14" fillId="0" borderId="45" xfId="22" applyNumberFormat="1" applyFont="1" applyFill="1" applyBorder="1" applyAlignment="1">
      <alignment horizontal="right" vertical="center"/>
    </xf>
    <xf numFmtId="4" fontId="14" fillId="0" borderId="46" xfId="22" applyNumberFormat="1" applyFont="1" applyFill="1" applyBorder="1" applyAlignment="1">
      <alignment horizontal="right" vertical="center"/>
    </xf>
    <xf numFmtId="3" fontId="14" fillId="0" borderId="10" xfId="22" applyNumberFormat="1" applyFont="1" applyFill="1" applyBorder="1" applyAlignment="1">
      <alignment horizontal="right" vertical="center"/>
    </xf>
    <xf numFmtId="3" fontId="14" fillId="0" borderId="13" xfId="22" applyNumberFormat="1" applyFont="1" applyFill="1" applyBorder="1" applyAlignment="1">
      <alignment horizontal="right" vertical="center"/>
    </xf>
    <xf numFmtId="4" fontId="17" fillId="2" borderId="2" xfId="2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0" fontId="14" fillId="0" borderId="2" xfId="22" applyFont="1" applyFill="1" applyBorder="1" applyAlignment="1">
      <alignment horizontal="left" vertical="center"/>
    </xf>
    <xf numFmtId="0" fontId="14" fillId="0" borderId="2" xfId="22" applyFont="1" applyFill="1" applyBorder="1" applyAlignment="1">
      <alignment horizontal="left" vertical="center"/>
    </xf>
    <xf numFmtId="49" fontId="14" fillId="2" borderId="2" xfId="22" applyNumberFormat="1" applyFont="1" applyFill="1" applyBorder="1" applyAlignment="1">
      <alignment horizontal="center" vertical="center"/>
    </xf>
    <xf numFmtId="0" fontId="31" fillId="2" borderId="2" xfId="0" applyFont="1" applyFill="1" applyBorder="1"/>
    <xf numFmtId="3" fontId="15" fillId="0" borderId="10" xfId="22" applyNumberFormat="1" applyFont="1" applyFill="1" applyBorder="1" applyAlignment="1">
      <alignment horizontal="right" vertical="center"/>
    </xf>
    <xf numFmtId="4" fontId="31" fillId="0" borderId="2" xfId="0" applyNumberFormat="1" applyFont="1" applyFill="1" applyBorder="1"/>
    <xf numFmtId="0" fontId="14" fillId="2" borderId="10" xfId="22" applyFont="1" applyFill="1" applyBorder="1" applyAlignment="1">
      <alignment horizontal="center" vertical="center"/>
    </xf>
    <xf numFmtId="0" fontId="32" fillId="0" borderId="10" xfId="22" applyFont="1" applyFill="1" applyBorder="1" applyAlignment="1">
      <alignment horizontal="center" vertical="center"/>
    </xf>
    <xf numFmtId="0" fontId="14" fillId="0" borderId="10" xfId="22" applyFont="1" applyFill="1" applyBorder="1" applyAlignment="1">
      <alignment horizontal="center" vertical="center"/>
    </xf>
    <xf numFmtId="4" fontId="15" fillId="0" borderId="10" xfId="22" applyNumberFormat="1" applyFont="1" applyFill="1" applyBorder="1" applyAlignment="1">
      <alignment horizontal="right" vertical="center"/>
    </xf>
    <xf numFmtId="1" fontId="14" fillId="0" borderId="10" xfId="22" applyNumberFormat="1" applyFont="1" applyFill="1" applyBorder="1" applyAlignment="1">
      <alignment horizontal="right" vertical="center"/>
    </xf>
    <xf numFmtId="0" fontId="14" fillId="0" borderId="13" xfId="22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/>
    <xf numFmtId="0" fontId="32" fillId="0" borderId="13" xfId="22" applyFont="1" applyFill="1" applyBorder="1" applyAlignment="1">
      <alignment horizontal="center" vertical="center"/>
    </xf>
    <xf numFmtId="4" fontId="15" fillId="0" borderId="13" xfId="22" applyNumberFormat="1" applyFont="1" applyFill="1" applyBorder="1" applyAlignment="1">
      <alignment horizontal="right" vertical="center"/>
    </xf>
    <xf numFmtId="1" fontId="14" fillId="0" borderId="13" xfId="22" applyNumberFormat="1" applyFont="1" applyFill="1" applyBorder="1" applyAlignment="1">
      <alignment horizontal="right" vertical="center"/>
    </xf>
    <xf numFmtId="4" fontId="12" fillId="2" borderId="10" xfId="3" applyNumberFormat="1" applyFont="1" applyFill="1" applyBorder="1" applyAlignment="1">
      <alignment horizontal="center" vertical="center"/>
    </xf>
    <xf numFmtId="3" fontId="16" fillId="0" borderId="2" xfId="3" applyNumberFormat="1" applyFont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center" vertical="center"/>
    </xf>
    <xf numFmtId="1" fontId="16" fillId="0" borderId="1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49" fontId="16" fillId="2" borderId="2" xfId="22" applyNumberFormat="1" applyFont="1" applyFill="1" applyBorder="1" applyAlignment="1">
      <alignment horizontal="center" vertical="center"/>
    </xf>
    <xf numFmtId="0" fontId="16" fillId="2" borderId="2" xfId="22" applyFont="1" applyFill="1" applyBorder="1" applyAlignment="1">
      <alignment horizontal="center" vertical="center"/>
    </xf>
    <xf numFmtId="0" fontId="19" fillId="2" borderId="2" xfId="0" applyFont="1" applyFill="1" applyBorder="1"/>
    <xf numFmtId="3" fontId="16" fillId="2" borderId="13" xfId="2" applyNumberFormat="1" applyFont="1" applyFill="1" applyBorder="1" applyAlignment="1">
      <alignment horizontal="center"/>
    </xf>
    <xf numFmtId="4" fontId="12" fillId="2" borderId="10" xfId="2" applyNumberFormat="1" applyFont="1" applyFill="1" applyBorder="1" applyAlignment="1">
      <alignment horizontal="center" vertical="center"/>
    </xf>
    <xf numFmtId="3" fontId="12" fillId="2" borderId="10" xfId="3" applyNumberFormat="1" applyFont="1" applyFill="1" applyBorder="1" applyAlignment="1">
      <alignment horizontal="center" vertical="center"/>
    </xf>
    <xf numFmtId="0" fontId="16" fillId="2" borderId="2" xfId="22" applyFont="1" applyFill="1" applyBorder="1" applyAlignment="1">
      <alignment horizontal="left" vertical="center"/>
    </xf>
    <xf numFmtId="4" fontId="16" fillId="2" borderId="10" xfId="0" applyNumberFormat="1" applyFont="1" applyFill="1" applyBorder="1" applyAlignment="1">
      <alignment horizontal="left" vertical="center"/>
    </xf>
    <xf numFmtId="4" fontId="16" fillId="2" borderId="10" xfId="0" applyNumberFormat="1" applyFont="1" applyFill="1" applyBorder="1" applyAlignment="1">
      <alignment horizontal="center" vertical="center"/>
    </xf>
    <xf numFmtId="49" fontId="16" fillId="2" borderId="10" xfId="0" quotePrefix="1" applyNumberFormat="1" applyFont="1" applyFill="1" applyBorder="1" applyAlignment="1">
      <alignment horizontal="center" vertical="center"/>
    </xf>
    <xf numFmtId="0" fontId="24" fillId="2" borderId="10" xfId="1" applyFont="1" applyFill="1" applyBorder="1"/>
    <xf numFmtId="0" fontId="17" fillId="2" borderId="2" xfId="3" applyFont="1" applyFill="1" applyBorder="1" applyAlignment="1">
      <alignment horizontal="center" vertical="center"/>
    </xf>
    <xf numFmtId="1" fontId="17" fillId="2" borderId="2" xfId="2" applyNumberFormat="1" applyFont="1" applyFill="1" applyBorder="1" applyAlignment="1">
      <alignment horizontal="center" vertical="center"/>
    </xf>
    <xf numFmtId="3" fontId="17" fillId="2" borderId="2" xfId="2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wrapText="1"/>
    </xf>
    <xf numFmtId="1" fontId="17" fillId="2" borderId="2" xfId="2" applyNumberFormat="1" applyFont="1" applyFill="1" applyBorder="1" applyAlignment="1">
      <alignment horizontal="center"/>
    </xf>
    <xf numFmtId="4" fontId="17" fillId="2" borderId="2" xfId="2" applyNumberFormat="1" applyFont="1" applyFill="1" applyBorder="1" applyAlignment="1">
      <alignment horizontal="center"/>
    </xf>
    <xf numFmtId="3" fontId="17" fillId="2" borderId="2" xfId="2" applyNumberFormat="1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0" fontId="16" fillId="2" borderId="44" xfId="22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4" fontId="17" fillId="2" borderId="2" xfId="29" applyNumberFormat="1" applyFont="1" applyFill="1" applyBorder="1" applyAlignment="1">
      <alignment horizontal="center" vertical="center"/>
    </xf>
    <xf numFmtId="2" fontId="17" fillId="2" borderId="2" xfId="2" applyNumberFormat="1" applyFont="1" applyFill="1" applyBorder="1" applyAlignment="1">
      <alignment horizontal="center"/>
    </xf>
    <xf numFmtId="0" fontId="16" fillId="2" borderId="13" xfId="22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0" fontId="19" fillId="2" borderId="13" xfId="0" applyFont="1" applyFill="1" applyBorder="1"/>
    <xf numFmtId="0" fontId="17" fillId="2" borderId="13" xfId="0" applyFont="1" applyFill="1" applyBorder="1" applyAlignment="1">
      <alignment horizontal="center" vertical="center"/>
    </xf>
    <xf numFmtId="4" fontId="17" fillId="2" borderId="13" xfId="0" applyNumberFormat="1" applyFont="1" applyFill="1" applyBorder="1" applyAlignment="1">
      <alignment horizontal="center" vertical="center"/>
    </xf>
    <xf numFmtId="4" fontId="16" fillId="2" borderId="13" xfId="0" applyNumberFormat="1" applyFont="1" applyFill="1" applyBorder="1" applyAlignment="1">
      <alignment horizontal="left" vertical="center"/>
    </xf>
    <xf numFmtId="4" fontId="16" fillId="2" borderId="13" xfId="0" applyNumberFormat="1" applyFont="1" applyFill="1" applyBorder="1" applyAlignment="1">
      <alignment horizontal="center" vertical="center"/>
    </xf>
    <xf numFmtId="49" fontId="16" fillId="2" borderId="13" xfId="0" quotePrefix="1" applyNumberFormat="1" applyFont="1" applyFill="1" applyBorder="1" applyAlignment="1">
      <alignment horizontal="center" vertical="center"/>
    </xf>
    <xf numFmtId="0" fontId="12" fillId="2" borderId="10" xfId="22" applyFont="1" applyFill="1" applyBorder="1" applyAlignment="1">
      <alignment horizontal="center"/>
    </xf>
    <xf numFmtId="0" fontId="33" fillId="2" borderId="10" xfId="3" applyFont="1" applyFill="1" applyBorder="1" applyAlignment="1">
      <alignment horizontal="center" wrapText="1"/>
    </xf>
    <xf numFmtId="0" fontId="33" fillId="2" borderId="10" xfId="3" applyFont="1" applyFill="1" applyBorder="1" applyAlignment="1">
      <alignment horizontal="center"/>
    </xf>
    <xf numFmtId="1" fontId="33" fillId="2" borderId="10" xfId="2" applyNumberFormat="1" applyFont="1" applyFill="1" applyBorder="1" applyAlignment="1">
      <alignment horizontal="center"/>
    </xf>
    <xf numFmtId="4" fontId="33" fillId="2" borderId="10" xfId="2" applyNumberFormat="1" applyFont="1" applyFill="1" applyBorder="1" applyAlignment="1">
      <alignment horizontal="center"/>
    </xf>
    <xf numFmtId="3" fontId="33" fillId="2" borderId="10" xfId="2" applyNumberFormat="1" applyFont="1" applyFill="1" applyBorder="1" applyAlignment="1">
      <alignment horizontal="center"/>
    </xf>
    <xf numFmtId="4" fontId="12" fillId="2" borderId="10" xfId="0" applyNumberFormat="1" applyFont="1" applyFill="1" applyBorder="1" applyAlignment="1">
      <alignment horizontal="left"/>
    </xf>
    <xf numFmtId="4" fontId="12" fillId="2" borderId="10" xfId="0" applyNumberFormat="1" applyFont="1" applyFill="1" applyBorder="1" applyAlignment="1">
      <alignment horizontal="center"/>
    </xf>
    <xf numFmtId="49" fontId="12" fillId="2" borderId="10" xfId="0" quotePrefix="1" applyNumberFormat="1" applyFont="1" applyFill="1" applyBorder="1" applyAlignment="1">
      <alignment horizontal="center"/>
    </xf>
    <xf numFmtId="0" fontId="24" fillId="2" borderId="10" xfId="1" applyFont="1" applyFill="1" applyBorder="1" applyAlignment="1">
      <alignment horizontal="center"/>
    </xf>
    <xf numFmtId="0" fontId="14" fillId="2" borderId="2" xfId="22" applyFont="1" applyFill="1" applyBorder="1" applyAlignment="1">
      <alignment horizontal="left" vertical="center"/>
    </xf>
    <xf numFmtId="0" fontId="12" fillId="2" borderId="26" xfId="22" applyFont="1" applyFill="1" applyBorder="1" applyAlignment="1">
      <alignment horizontal="center"/>
    </xf>
    <xf numFmtId="0" fontId="12" fillId="2" borderId="27" xfId="22" applyFont="1" applyFill="1" applyBorder="1" applyAlignment="1">
      <alignment horizontal="center"/>
    </xf>
    <xf numFmtId="0" fontId="12" fillId="2" borderId="31" xfId="22" applyFont="1" applyFill="1" applyBorder="1" applyAlignment="1">
      <alignment horizontal="center"/>
    </xf>
    <xf numFmtId="0" fontId="11" fillId="0" borderId="0" xfId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 textRotation="90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textRotation="90"/>
    </xf>
    <xf numFmtId="0" fontId="12" fillId="4" borderId="40" xfId="0" applyFont="1" applyFill="1" applyBorder="1" applyAlignment="1">
      <alignment horizontal="left" vertical="center"/>
    </xf>
    <xf numFmtId="0" fontId="12" fillId="4" borderId="41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 textRotation="90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4" fillId="0" borderId="0" xfId="22" applyFont="1" applyFill="1" applyAlignment="1">
      <alignment horizontal="right" vertical="center" wrapText="1"/>
    </xf>
    <xf numFmtId="0" fontId="14" fillId="0" borderId="2" xfId="22" applyFont="1" applyFill="1" applyBorder="1" applyAlignment="1">
      <alignment horizontal="center" vertical="center" textRotation="90" wrapText="1"/>
    </xf>
    <xf numFmtId="0" fontId="15" fillId="0" borderId="1" xfId="22" applyFont="1" applyFill="1" applyBorder="1" applyAlignment="1">
      <alignment horizontal="center" vertical="center" wrapText="1"/>
    </xf>
    <xf numFmtId="0" fontId="15" fillId="0" borderId="27" xfId="22" applyFont="1" applyFill="1" applyBorder="1" applyAlignment="1">
      <alignment horizontal="center" vertical="center" wrapText="1"/>
    </xf>
    <xf numFmtId="0" fontId="14" fillId="0" borderId="2" xfId="22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8" fillId="4" borderId="40" xfId="22" applyFont="1" applyFill="1" applyBorder="1" applyAlignment="1">
      <alignment horizontal="left" vertical="center"/>
    </xf>
    <xf numFmtId="0" fontId="15" fillId="4" borderId="41" xfId="22" applyFont="1" applyFill="1" applyBorder="1" applyAlignment="1">
      <alignment horizontal="left" vertical="center"/>
    </xf>
    <xf numFmtId="0" fontId="15" fillId="4" borderId="42" xfId="22" applyFont="1" applyFill="1" applyBorder="1" applyAlignment="1">
      <alignment horizontal="left" vertical="center"/>
    </xf>
    <xf numFmtId="0" fontId="14" fillId="0" borderId="2" xfId="22" applyFont="1" applyFill="1" applyBorder="1" applyAlignment="1">
      <alignment horizontal="left" vertical="center"/>
    </xf>
    <xf numFmtId="0" fontId="14" fillId="0" borderId="29" xfId="22" applyFont="1" applyFill="1" applyBorder="1" applyAlignment="1">
      <alignment horizontal="center" vertical="center" textRotation="90" wrapText="1"/>
    </xf>
    <xf numFmtId="0" fontId="14" fillId="0" borderId="30" xfId="22" applyFont="1" applyFill="1" applyBorder="1" applyAlignment="1">
      <alignment horizontal="center" vertical="center" textRotation="90" wrapText="1"/>
    </xf>
    <xf numFmtId="0" fontId="14" fillId="0" borderId="26" xfId="22" applyFont="1" applyFill="1" applyBorder="1" applyAlignment="1">
      <alignment horizontal="center" vertical="center" textRotation="90" wrapText="1"/>
    </xf>
    <xf numFmtId="0" fontId="14" fillId="0" borderId="31" xfId="22" applyFont="1" applyFill="1" applyBorder="1" applyAlignment="1">
      <alignment horizontal="center" vertical="center" textRotation="90" wrapText="1"/>
    </xf>
    <xf numFmtId="0" fontId="15" fillId="0" borderId="44" xfId="22" applyFont="1" applyFill="1" applyBorder="1" applyAlignment="1">
      <alignment horizontal="center" vertical="center"/>
    </xf>
    <xf numFmtId="0" fontId="15" fillId="0" borderId="47" xfId="22" applyFont="1" applyFill="1" applyBorder="1" applyAlignment="1">
      <alignment horizontal="center" vertical="center"/>
    </xf>
    <xf numFmtId="0" fontId="15" fillId="0" borderId="45" xfId="22" applyFont="1" applyFill="1" applyBorder="1" applyAlignment="1">
      <alignment horizontal="center" vertical="center"/>
    </xf>
    <xf numFmtId="0" fontId="19" fillId="0" borderId="0" xfId="1" applyFont="1" applyFill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</cellXfs>
  <cellStyles count="30">
    <cellStyle name="Excel Built-in Normal" xfId="4"/>
    <cellStyle name="Excel Built-in Normal 2" xfId="2"/>
    <cellStyle name="TableStyleLight1" xfId="5"/>
    <cellStyle name="Обычный" xfId="0" builtinId="0"/>
    <cellStyle name="Обычный 2" xfId="1"/>
    <cellStyle name="Обычный 2 2" xfId="6"/>
    <cellStyle name="Обычный 2 2 2" xfId="27"/>
    <cellStyle name="Обычный 2 3" xfId="3"/>
    <cellStyle name="Обычный 2 4" xfId="22"/>
    <cellStyle name="Обычный 2 4 2" xfId="24"/>
    <cellStyle name="Обычный 2 4 2 3" xfId="28"/>
    <cellStyle name="Обычный 2 5" xfId="23"/>
    <cellStyle name="Обычный 2 5 3" xfId="25"/>
    <cellStyle name="Обычный 2 8" xfId="26"/>
    <cellStyle name="Обычный 3" xfId="7"/>
    <cellStyle name="Обычный 3 2" xfId="8"/>
    <cellStyle name="Обычный 3 3" xfId="9"/>
    <cellStyle name="Обычный 4" xfId="10"/>
    <cellStyle name="Обычный 4 2" xfId="11"/>
    <cellStyle name="Обычный 4 3" xfId="12"/>
    <cellStyle name="Обычный 5" xfId="13"/>
    <cellStyle name="Обычный 6" xfId="14"/>
    <cellStyle name="Обычный 6 2" xfId="15"/>
    <cellStyle name="Обычный 6 3" xfId="16"/>
    <cellStyle name="Обычный 7" xfId="17"/>
    <cellStyle name="Обычный 7 2" xfId="18"/>
    <cellStyle name="Обычный 7 3" xfId="19"/>
    <cellStyle name="Обычный 8" xfId="20"/>
    <cellStyle name="Обычный 9" xfId="21"/>
    <cellStyle name="Финансовый" xfId="29" builtinId="3"/>
  </cellStyles>
  <dxfs count="29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%20(&#1090;&#1077;&#1082;&#1091;&#1097;&#1072;&#1103;%20&#1074;&#1077;&#1088;&#1089;&#1080;&#1103;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%20(&#1090;&#1077;&#1082;&#1091;&#1097;&#1080;&#1081;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9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Y121"/>
  <sheetViews>
    <sheetView view="pageBreakPreview" topLeftCell="A64" zoomScale="85" zoomScaleNormal="70" zoomScaleSheetLayoutView="85" workbookViewId="0">
      <selection activeCell="E3" sqref="E3"/>
    </sheetView>
  </sheetViews>
  <sheetFormatPr defaultColWidth="9.140625" defaultRowHeight="15" x14ac:dyDescent="0.25"/>
  <cols>
    <col min="1" max="1" width="5" style="2" customWidth="1"/>
    <col min="2" max="2" width="9.42578125" style="11" customWidth="1"/>
    <col min="3" max="3" width="16" style="11" customWidth="1"/>
    <col min="4" max="4" width="14.140625" style="11" customWidth="1"/>
    <col min="5" max="5" width="18.85546875" style="11" customWidth="1"/>
    <col min="6" max="6" width="6.42578125" style="3" customWidth="1"/>
    <col min="7" max="7" width="5.42578125" style="3" customWidth="1"/>
    <col min="8" max="8" width="4.42578125" style="9" customWidth="1"/>
    <col min="9" max="9" width="7.28515625" style="3" customWidth="1"/>
    <col min="10" max="10" width="6.5703125" style="10" customWidth="1"/>
    <col min="11" max="11" width="17.85546875" style="12" customWidth="1"/>
    <col min="12" max="13" width="5.7109375" style="7" customWidth="1"/>
    <col min="14" max="14" width="13.42578125" style="5" customWidth="1"/>
    <col min="15" max="15" width="14.5703125" style="5" customWidth="1"/>
    <col min="16" max="16" width="14.28515625" style="5" customWidth="1"/>
    <col min="17" max="17" width="9.85546875" style="8" customWidth="1"/>
    <col min="18" max="18" width="17.85546875" style="5" customWidth="1"/>
    <col min="19" max="19" width="13.28515625" style="5" customWidth="1"/>
    <col min="20" max="20" width="8.85546875" style="5" customWidth="1"/>
    <col min="21" max="21" width="8.140625" style="5" customWidth="1"/>
    <col min="22" max="22" width="17.7109375" style="5" customWidth="1"/>
    <col min="23" max="23" width="11.5703125" style="5" customWidth="1"/>
    <col min="24" max="24" width="10.28515625" style="5" customWidth="1"/>
    <col min="25" max="25" width="12" style="7" customWidth="1"/>
    <col min="26" max="31" width="9.140625" style="5"/>
    <col min="32" max="32" width="16.140625" style="5" customWidth="1"/>
    <col min="33" max="16384" width="9.140625" style="5"/>
  </cols>
  <sheetData>
    <row r="1" spans="1:25" ht="15" customHeight="1" x14ac:dyDescent="0.25"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86"/>
      <c r="T1" s="486"/>
      <c r="U1" s="486"/>
      <c r="V1" s="486"/>
      <c r="W1" s="486"/>
      <c r="X1" s="486"/>
      <c r="Y1" s="486"/>
    </row>
    <row r="2" spans="1:25" ht="45.95" customHeight="1" x14ac:dyDescent="0.2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12"/>
      <c r="T2" s="112"/>
      <c r="U2" s="112"/>
      <c r="V2" s="486" t="s">
        <v>100</v>
      </c>
      <c r="W2" s="486"/>
      <c r="X2" s="486"/>
      <c r="Y2" s="486"/>
    </row>
    <row r="3" spans="1:25" ht="27" customHeight="1" x14ac:dyDescent="0.25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12"/>
      <c r="T3" s="112"/>
      <c r="U3" s="112"/>
      <c r="V3" s="495" t="s">
        <v>165</v>
      </c>
      <c r="W3" s="486"/>
      <c r="X3" s="486"/>
      <c r="Y3" s="486"/>
    </row>
    <row r="4" spans="1:25" ht="22.15" customHeight="1" x14ac:dyDescent="0.25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12"/>
      <c r="T4" s="112"/>
      <c r="U4" s="112"/>
      <c r="V4" s="112"/>
      <c r="W4" s="112"/>
      <c r="X4" s="112"/>
      <c r="Y4" s="112"/>
    </row>
    <row r="5" spans="1:25" ht="24.95" customHeight="1" x14ac:dyDescent="0.25">
      <c r="A5" s="487" t="s">
        <v>125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</row>
    <row r="6" spans="1:25" ht="30" customHeight="1" x14ac:dyDescent="0.25">
      <c r="A6" s="489" t="s">
        <v>0</v>
      </c>
      <c r="B6" s="489" t="s">
        <v>1</v>
      </c>
      <c r="C6" s="489"/>
      <c r="D6" s="489"/>
      <c r="E6" s="489"/>
      <c r="F6" s="489"/>
      <c r="G6" s="489"/>
      <c r="H6" s="489"/>
      <c r="I6" s="490" t="s">
        <v>2</v>
      </c>
      <c r="J6" s="490"/>
      <c r="K6" s="488" t="s">
        <v>3</v>
      </c>
      <c r="L6" s="491" t="s">
        <v>4</v>
      </c>
      <c r="M6" s="491" t="s">
        <v>5</v>
      </c>
      <c r="N6" s="488" t="s">
        <v>6</v>
      </c>
      <c r="O6" s="489" t="s">
        <v>7</v>
      </c>
      <c r="P6" s="489"/>
      <c r="Q6" s="502" t="s">
        <v>8</v>
      </c>
      <c r="R6" s="489" t="s">
        <v>9</v>
      </c>
      <c r="S6" s="489"/>
      <c r="T6" s="489"/>
      <c r="U6" s="489"/>
      <c r="V6" s="489"/>
      <c r="W6" s="488" t="s">
        <v>10</v>
      </c>
      <c r="X6" s="488" t="s">
        <v>11</v>
      </c>
      <c r="Y6" s="488" t="s">
        <v>12</v>
      </c>
    </row>
    <row r="7" spans="1:25" ht="15" customHeight="1" x14ac:dyDescent="0.25">
      <c r="A7" s="489"/>
      <c r="B7" s="488" t="s">
        <v>13</v>
      </c>
      <c r="C7" s="488" t="s">
        <v>14</v>
      </c>
      <c r="D7" s="488" t="s">
        <v>15</v>
      </c>
      <c r="E7" s="488" t="s">
        <v>16</v>
      </c>
      <c r="F7" s="488" t="s">
        <v>17</v>
      </c>
      <c r="G7" s="488" t="s">
        <v>18</v>
      </c>
      <c r="H7" s="488" t="s">
        <v>19</v>
      </c>
      <c r="I7" s="488" t="s">
        <v>20</v>
      </c>
      <c r="J7" s="488" t="s">
        <v>21</v>
      </c>
      <c r="K7" s="488"/>
      <c r="L7" s="491"/>
      <c r="M7" s="491"/>
      <c r="N7" s="488"/>
      <c r="O7" s="488" t="s">
        <v>22</v>
      </c>
      <c r="P7" s="488" t="s">
        <v>23</v>
      </c>
      <c r="Q7" s="502"/>
      <c r="R7" s="488" t="s">
        <v>22</v>
      </c>
      <c r="S7" s="489" t="s">
        <v>24</v>
      </c>
      <c r="T7" s="489"/>
      <c r="U7" s="489"/>
      <c r="V7" s="489"/>
      <c r="W7" s="488"/>
      <c r="X7" s="488"/>
      <c r="Y7" s="488"/>
    </row>
    <row r="8" spans="1:25" ht="115.9" customHeight="1" x14ac:dyDescent="0.25">
      <c r="A8" s="489"/>
      <c r="B8" s="488"/>
      <c r="C8" s="488"/>
      <c r="D8" s="488"/>
      <c r="E8" s="488"/>
      <c r="F8" s="488"/>
      <c r="G8" s="488"/>
      <c r="H8" s="488"/>
      <c r="I8" s="488"/>
      <c r="J8" s="488"/>
      <c r="K8" s="488"/>
      <c r="L8" s="491"/>
      <c r="M8" s="491"/>
      <c r="N8" s="488"/>
      <c r="O8" s="488"/>
      <c r="P8" s="488"/>
      <c r="Q8" s="502"/>
      <c r="R8" s="488"/>
      <c r="S8" s="113" t="s">
        <v>25</v>
      </c>
      <c r="T8" s="113" t="s">
        <v>26</v>
      </c>
      <c r="U8" s="113" t="s">
        <v>27</v>
      </c>
      <c r="V8" s="113" t="s">
        <v>28</v>
      </c>
      <c r="W8" s="488"/>
      <c r="X8" s="488"/>
      <c r="Y8" s="488"/>
    </row>
    <row r="9" spans="1:25" ht="15.6" customHeight="1" x14ac:dyDescent="0.25">
      <c r="A9" s="489"/>
      <c r="B9" s="488"/>
      <c r="C9" s="488"/>
      <c r="D9" s="488"/>
      <c r="E9" s="488"/>
      <c r="F9" s="488"/>
      <c r="G9" s="488"/>
      <c r="H9" s="488"/>
      <c r="I9" s="488"/>
      <c r="J9" s="488"/>
      <c r="K9" s="488"/>
      <c r="L9" s="491"/>
      <c r="M9" s="491"/>
      <c r="N9" s="114" t="s">
        <v>29</v>
      </c>
      <c r="O9" s="114" t="s">
        <v>29</v>
      </c>
      <c r="P9" s="114" t="s">
        <v>29</v>
      </c>
      <c r="Q9" s="1" t="s">
        <v>30</v>
      </c>
      <c r="R9" s="114" t="s">
        <v>31</v>
      </c>
      <c r="S9" s="114" t="s">
        <v>31</v>
      </c>
      <c r="T9" s="114" t="s">
        <v>31</v>
      </c>
      <c r="U9" s="114" t="s">
        <v>31</v>
      </c>
      <c r="V9" s="114" t="s">
        <v>31</v>
      </c>
      <c r="W9" s="114" t="s">
        <v>32</v>
      </c>
      <c r="X9" s="114" t="s">
        <v>32</v>
      </c>
      <c r="Y9" s="488"/>
    </row>
    <row r="10" spans="1:25" x14ac:dyDescent="0.25">
      <c r="A10" s="115">
        <v>1</v>
      </c>
      <c r="B10" s="114">
        <v>2</v>
      </c>
      <c r="C10" s="114">
        <v>3</v>
      </c>
      <c r="D10" s="114">
        <v>4</v>
      </c>
      <c r="E10" s="114">
        <v>5</v>
      </c>
      <c r="F10" s="115">
        <v>6</v>
      </c>
      <c r="G10" s="115">
        <v>7</v>
      </c>
      <c r="H10" s="115">
        <v>8</v>
      </c>
      <c r="I10" s="115">
        <v>9</v>
      </c>
      <c r="J10" s="115">
        <v>10</v>
      </c>
      <c r="K10" s="114">
        <v>11</v>
      </c>
      <c r="L10" s="115">
        <v>12</v>
      </c>
      <c r="M10" s="115">
        <v>13</v>
      </c>
      <c r="N10" s="115">
        <v>14</v>
      </c>
      <c r="O10" s="115">
        <v>15</v>
      </c>
      <c r="P10" s="115">
        <v>16</v>
      </c>
      <c r="Q10" s="6">
        <v>17</v>
      </c>
      <c r="R10" s="115">
        <v>18</v>
      </c>
      <c r="S10" s="115">
        <v>19</v>
      </c>
      <c r="T10" s="115">
        <v>20</v>
      </c>
      <c r="U10" s="115">
        <v>21</v>
      </c>
      <c r="V10" s="115">
        <v>22</v>
      </c>
      <c r="W10" s="115">
        <v>23</v>
      </c>
      <c r="X10" s="115">
        <v>24</v>
      </c>
      <c r="Y10" s="115">
        <v>25</v>
      </c>
    </row>
    <row r="11" spans="1:25" s="159" customFormat="1" ht="19.7" customHeight="1" x14ac:dyDescent="0.25">
      <c r="A11" s="155" t="s">
        <v>106</v>
      </c>
      <c r="B11" s="156"/>
      <c r="C11" s="156"/>
      <c r="D11" s="156"/>
      <c r="E11" s="156"/>
      <c r="F11" s="157"/>
      <c r="G11" s="157"/>
      <c r="H11" s="157"/>
      <c r="I11" s="157"/>
      <c r="J11" s="157"/>
      <c r="K11" s="156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8"/>
    </row>
    <row r="12" spans="1:25" s="131" customFormat="1" ht="19.149999999999999" customHeight="1" x14ac:dyDescent="0.25">
      <c r="A12" s="124">
        <v>1</v>
      </c>
      <c r="B12" s="125" t="s">
        <v>70</v>
      </c>
      <c r="C12" s="125" t="s">
        <v>71</v>
      </c>
      <c r="D12" s="14" t="s">
        <v>78</v>
      </c>
      <c r="E12" s="40" t="s">
        <v>79</v>
      </c>
      <c r="F12" s="41">
        <v>10</v>
      </c>
      <c r="G12" s="124"/>
      <c r="H12" s="124"/>
      <c r="I12" s="126">
        <v>1989</v>
      </c>
      <c r="J12" s="126"/>
      <c r="K12" s="126" t="s">
        <v>77</v>
      </c>
      <c r="L12" s="126">
        <v>9</v>
      </c>
      <c r="M12" s="126">
        <v>3</v>
      </c>
      <c r="N12" s="127">
        <v>7321.5</v>
      </c>
      <c r="O12" s="127">
        <v>5669.6</v>
      </c>
      <c r="P12" s="127">
        <v>5296.8</v>
      </c>
      <c r="Q12" s="128">
        <v>214</v>
      </c>
      <c r="R12" s="127">
        <f t="shared" ref="R12:R14" si="0">S12+T12+U12+V12</f>
        <v>5905018.2300000004</v>
      </c>
      <c r="S12" s="127">
        <v>0</v>
      </c>
      <c r="T12" s="127">
        <v>0</v>
      </c>
      <c r="U12" s="127">
        <v>0</v>
      </c>
      <c r="V12" s="127">
        <v>5905018.2300000004</v>
      </c>
      <c r="W12" s="127">
        <f t="shared" ref="W12:W22" si="1">R12/O12</f>
        <v>1041.5228993227036</v>
      </c>
      <c r="X12" s="129">
        <v>11424</v>
      </c>
      <c r="Y12" s="130" t="s">
        <v>127</v>
      </c>
    </row>
    <row r="13" spans="1:25" s="131" customFormat="1" ht="19.149999999999999" customHeight="1" x14ac:dyDescent="0.25">
      <c r="A13" s="124">
        <v>2</v>
      </c>
      <c r="B13" s="125" t="s">
        <v>70</v>
      </c>
      <c r="C13" s="125" t="s">
        <v>71</v>
      </c>
      <c r="D13" s="14" t="s">
        <v>78</v>
      </c>
      <c r="E13" s="40" t="s">
        <v>81</v>
      </c>
      <c r="F13" s="41">
        <v>19</v>
      </c>
      <c r="G13" s="124"/>
      <c r="H13" s="124"/>
      <c r="I13" s="132">
        <v>1994</v>
      </c>
      <c r="J13" s="132"/>
      <c r="K13" s="133" t="s">
        <v>77</v>
      </c>
      <c r="L13" s="134">
        <v>9</v>
      </c>
      <c r="M13" s="134">
        <v>6</v>
      </c>
      <c r="N13" s="135">
        <v>16454.5</v>
      </c>
      <c r="O13" s="135">
        <v>12636.6</v>
      </c>
      <c r="P13" s="135">
        <v>12038</v>
      </c>
      <c r="Q13" s="136">
        <v>312</v>
      </c>
      <c r="R13" s="127">
        <f t="shared" si="0"/>
        <v>11810036.460000001</v>
      </c>
      <c r="S13" s="127">
        <v>0</v>
      </c>
      <c r="T13" s="127">
        <v>0</v>
      </c>
      <c r="U13" s="127">
        <v>0</v>
      </c>
      <c r="V13" s="127">
        <v>11810036.460000001</v>
      </c>
      <c r="W13" s="127">
        <f t="shared" si="1"/>
        <v>934.58972033616647</v>
      </c>
      <c r="X13" s="129">
        <v>11424</v>
      </c>
      <c r="Y13" s="130" t="s">
        <v>127</v>
      </c>
    </row>
    <row r="14" spans="1:25" s="131" customFormat="1" ht="19.149999999999999" customHeight="1" x14ac:dyDescent="0.25">
      <c r="A14" s="124">
        <v>3</v>
      </c>
      <c r="B14" s="125" t="s">
        <v>70</v>
      </c>
      <c r="C14" s="125" t="s">
        <v>71</v>
      </c>
      <c r="D14" s="14" t="s">
        <v>78</v>
      </c>
      <c r="E14" s="40" t="s">
        <v>82</v>
      </c>
      <c r="F14" s="41">
        <v>16</v>
      </c>
      <c r="G14" s="124"/>
      <c r="H14" s="124"/>
      <c r="I14" s="126">
        <v>1994</v>
      </c>
      <c r="J14" s="126"/>
      <c r="K14" s="126" t="s">
        <v>74</v>
      </c>
      <c r="L14" s="126">
        <v>14</v>
      </c>
      <c r="M14" s="126">
        <v>1</v>
      </c>
      <c r="N14" s="127">
        <v>5332.1</v>
      </c>
      <c r="O14" s="127">
        <v>4335.6000000000004</v>
      </c>
      <c r="P14" s="127">
        <v>4335.6000000000004</v>
      </c>
      <c r="Q14" s="128">
        <v>306</v>
      </c>
      <c r="R14" s="127">
        <f t="shared" si="0"/>
        <v>3936678.82</v>
      </c>
      <c r="S14" s="127">
        <v>0</v>
      </c>
      <c r="T14" s="127">
        <v>0</v>
      </c>
      <c r="U14" s="127">
        <v>0</v>
      </c>
      <c r="V14" s="127">
        <v>3936678.82</v>
      </c>
      <c r="W14" s="127">
        <f t="shared" si="1"/>
        <v>907.98939477811598</v>
      </c>
      <c r="X14" s="129">
        <v>11424</v>
      </c>
      <c r="Y14" s="130" t="s">
        <v>127</v>
      </c>
    </row>
    <row r="15" spans="1:25" s="131" customFormat="1" ht="19.149999999999999" customHeight="1" x14ac:dyDescent="0.25">
      <c r="A15" s="124">
        <v>4</v>
      </c>
      <c r="B15" s="125" t="s">
        <v>70</v>
      </c>
      <c r="C15" s="125" t="s">
        <v>71</v>
      </c>
      <c r="D15" s="14" t="s">
        <v>78</v>
      </c>
      <c r="E15" s="40" t="s">
        <v>82</v>
      </c>
      <c r="F15" s="41">
        <v>44</v>
      </c>
      <c r="G15" s="124"/>
      <c r="H15" s="124"/>
      <c r="I15" s="126">
        <v>1993</v>
      </c>
      <c r="J15" s="126"/>
      <c r="K15" s="42" t="s">
        <v>77</v>
      </c>
      <c r="L15" s="42">
        <v>9</v>
      </c>
      <c r="M15" s="126">
        <v>4</v>
      </c>
      <c r="N15" s="127">
        <v>8967.6</v>
      </c>
      <c r="O15" s="127">
        <v>7859.2</v>
      </c>
      <c r="P15" s="142">
        <v>7629.8</v>
      </c>
      <c r="Q15" s="126">
        <v>307</v>
      </c>
      <c r="R15" s="127">
        <v>7873357.6399999997</v>
      </c>
      <c r="S15" s="127">
        <v>0</v>
      </c>
      <c r="T15" s="127">
        <v>0</v>
      </c>
      <c r="U15" s="127">
        <v>0</v>
      </c>
      <c r="V15" s="127">
        <v>7873357.6399999997</v>
      </c>
      <c r="W15" s="127">
        <f t="shared" si="1"/>
        <v>1001.8014098127036</v>
      </c>
      <c r="X15" s="129">
        <v>11424</v>
      </c>
      <c r="Y15" s="130" t="s">
        <v>127</v>
      </c>
    </row>
    <row r="16" spans="1:25" s="138" customFormat="1" ht="19.149999999999999" customHeight="1" x14ac:dyDescent="0.25">
      <c r="A16" s="124">
        <v>5</v>
      </c>
      <c r="B16" s="125" t="s">
        <v>70</v>
      </c>
      <c r="C16" s="125" t="s">
        <v>71</v>
      </c>
      <c r="D16" s="14" t="s">
        <v>78</v>
      </c>
      <c r="E16" s="125" t="s">
        <v>85</v>
      </c>
      <c r="F16" s="124">
        <v>15</v>
      </c>
      <c r="G16" s="124"/>
      <c r="H16" s="124"/>
      <c r="I16" s="126">
        <v>1982</v>
      </c>
      <c r="J16" s="126"/>
      <c r="K16" s="137" t="s">
        <v>77</v>
      </c>
      <c r="L16" s="126">
        <v>9</v>
      </c>
      <c r="M16" s="126">
        <v>3</v>
      </c>
      <c r="N16" s="127">
        <v>6670</v>
      </c>
      <c r="O16" s="127">
        <v>5709.2</v>
      </c>
      <c r="P16" s="127">
        <v>5316</v>
      </c>
      <c r="Q16" s="128">
        <v>251</v>
      </c>
      <c r="R16" s="127">
        <v>5905018.2300000004</v>
      </c>
      <c r="S16" s="127">
        <v>0</v>
      </c>
      <c r="T16" s="127">
        <v>0</v>
      </c>
      <c r="U16" s="127">
        <v>0</v>
      </c>
      <c r="V16" s="127">
        <v>5905018.2300000004</v>
      </c>
      <c r="W16" s="127">
        <f t="shared" si="1"/>
        <v>1034.2987161073356</v>
      </c>
      <c r="X16" s="129">
        <v>11424</v>
      </c>
      <c r="Y16" s="130" t="s">
        <v>127</v>
      </c>
    </row>
    <row r="17" spans="1:25" s="131" customFormat="1" ht="19.149999999999999" customHeight="1" x14ac:dyDescent="0.25">
      <c r="A17" s="124">
        <v>6</v>
      </c>
      <c r="B17" s="125" t="s">
        <v>70</v>
      </c>
      <c r="C17" s="125" t="s">
        <v>71</v>
      </c>
      <c r="D17" s="14" t="s">
        <v>72</v>
      </c>
      <c r="E17" s="40" t="s">
        <v>73</v>
      </c>
      <c r="F17" s="41">
        <v>168</v>
      </c>
      <c r="G17" s="124"/>
      <c r="H17" s="124"/>
      <c r="I17" s="126">
        <v>1984</v>
      </c>
      <c r="J17" s="126"/>
      <c r="K17" s="126" t="s">
        <v>77</v>
      </c>
      <c r="L17" s="126">
        <v>9</v>
      </c>
      <c r="M17" s="126">
        <v>3</v>
      </c>
      <c r="N17" s="127">
        <v>7181.9</v>
      </c>
      <c r="O17" s="127">
        <f>P17-232.5</f>
        <v>6099.6</v>
      </c>
      <c r="P17" s="127">
        <v>6332.1</v>
      </c>
      <c r="Q17" s="128">
        <v>108</v>
      </c>
      <c r="R17" s="127">
        <v>5905018.2300000004</v>
      </c>
      <c r="S17" s="127">
        <v>0</v>
      </c>
      <c r="T17" s="127">
        <v>0</v>
      </c>
      <c r="U17" s="127">
        <v>0</v>
      </c>
      <c r="V17" s="127">
        <v>5905018.2300000004</v>
      </c>
      <c r="W17" s="127">
        <f t="shared" si="1"/>
        <v>968.09925732834938</v>
      </c>
      <c r="X17" s="129">
        <v>11424</v>
      </c>
      <c r="Y17" s="130" t="s">
        <v>127</v>
      </c>
    </row>
    <row r="18" spans="1:25" s="131" customFormat="1" ht="19.149999999999999" customHeight="1" x14ac:dyDescent="0.25">
      <c r="A18" s="124">
        <v>7</v>
      </c>
      <c r="B18" s="125" t="s">
        <v>70</v>
      </c>
      <c r="C18" s="125" t="s">
        <v>71</v>
      </c>
      <c r="D18" s="14" t="s">
        <v>72</v>
      </c>
      <c r="E18" s="40" t="s">
        <v>73</v>
      </c>
      <c r="F18" s="41">
        <v>130</v>
      </c>
      <c r="G18" s="124"/>
      <c r="H18" s="124"/>
      <c r="I18" s="126">
        <v>1990</v>
      </c>
      <c r="J18" s="126"/>
      <c r="K18" s="42" t="s">
        <v>74</v>
      </c>
      <c r="L18" s="42">
        <v>12</v>
      </c>
      <c r="M18" s="126">
        <v>1</v>
      </c>
      <c r="N18" s="127">
        <v>4917.5</v>
      </c>
      <c r="O18" s="127">
        <v>4015.5</v>
      </c>
      <c r="P18" s="142">
        <v>3957.9</v>
      </c>
      <c r="Q18" s="126">
        <v>177</v>
      </c>
      <c r="R18" s="127">
        <v>3936678.82</v>
      </c>
      <c r="S18" s="127">
        <v>0</v>
      </c>
      <c r="T18" s="127">
        <v>0</v>
      </c>
      <c r="U18" s="127">
        <v>0</v>
      </c>
      <c r="V18" s="127">
        <v>3936678.82</v>
      </c>
      <c r="W18" s="127">
        <f t="shared" si="1"/>
        <v>980.37076827294231</v>
      </c>
      <c r="X18" s="129">
        <v>11424</v>
      </c>
      <c r="Y18" s="130" t="s">
        <v>127</v>
      </c>
    </row>
    <row r="19" spans="1:25" s="131" customFormat="1" ht="19.149999999999999" customHeight="1" x14ac:dyDescent="0.25">
      <c r="A19" s="124">
        <v>8</v>
      </c>
      <c r="B19" s="125" t="s">
        <v>70</v>
      </c>
      <c r="C19" s="125" t="s">
        <v>71</v>
      </c>
      <c r="D19" s="14" t="s">
        <v>72</v>
      </c>
      <c r="E19" s="40" t="s">
        <v>76</v>
      </c>
      <c r="F19" s="41">
        <v>57</v>
      </c>
      <c r="G19" s="124"/>
      <c r="H19" s="124"/>
      <c r="I19" s="126">
        <v>1994</v>
      </c>
      <c r="J19" s="126"/>
      <c r="K19" s="42" t="s">
        <v>77</v>
      </c>
      <c r="L19" s="42">
        <v>9</v>
      </c>
      <c r="M19" s="126">
        <v>2</v>
      </c>
      <c r="N19" s="127">
        <v>4745.3</v>
      </c>
      <c r="O19" s="127">
        <v>4112.8999999999996</v>
      </c>
      <c r="P19" s="142">
        <v>4062.3</v>
      </c>
      <c r="Q19" s="126">
        <v>211</v>
      </c>
      <c r="R19" s="127">
        <v>3936678.82</v>
      </c>
      <c r="S19" s="127">
        <v>0</v>
      </c>
      <c r="T19" s="127">
        <v>0</v>
      </c>
      <c r="U19" s="127">
        <v>0</v>
      </c>
      <c r="V19" s="127">
        <v>3936678.82</v>
      </c>
      <c r="W19" s="127">
        <f t="shared" si="1"/>
        <v>957.15403243453534</v>
      </c>
      <c r="X19" s="129">
        <v>11424</v>
      </c>
      <c r="Y19" s="130" t="s">
        <v>127</v>
      </c>
    </row>
    <row r="20" spans="1:25" s="131" customFormat="1" ht="19.149999999999999" customHeight="1" x14ac:dyDescent="0.25">
      <c r="A20" s="124">
        <v>9</v>
      </c>
      <c r="B20" s="125" t="s">
        <v>70</v>
      </c>
      <c r="C20" s="125" t="s">
        <v>71</v>
      </c>
      <c r="D20" s="14" t="s">
        <v>80</v>
      </c>
      <c r="E20" s="42" t="s">
        <v>91</v>
      </c>
      <c r="F20" s="41">
        <v>7</v>
      </c>
      <c r="G20" s="124"/>
      <c r="H20" s="124"/>
      <c r="I20" s="126">
        <v>1989</v>
      </c>
      <c r="J20" s="126"/>
      <c r="K20" s="126" t="s">
        <v>74</v>
      </c>
      <c r="L20" s="126">
        <v>12</v>
      </c>
      <c r="M20" s="126">
        <v>2</v>
      </c>
      <c r="N20" s="127">
        <v>7579.1</v>
      </c>
      <c r="O20" s="127">
        <v>5569.3</v>
      </c>
      <c r="P20" s="127">
        <v>5569.3</v>
      </c>
      <c r="Q20" s="128">
        <v>145</v>
      </c>
      <c r="R20" s="127">
        <v>7873357.6399999997</v>
      </c>
      <c r="S20" s="127">
        <v>0</v>
      </c>
      <c r="T20" s="127">
        <v>0</v>
      </c>
      <c r="U20" s="127">
        <v>0</v>
      </c>
      <c r="V20" s="127">
        <v>7873357.6399999997</v>
      </c>
      <c r="W20" s="127">
        <f t="shared" si="1"/>
        <v>1413.7068644174312</v>
      </c>
      <c r="X20" s="129">
        <v>11424</v>
      </c>
      <c r="Y20" s="130" t="s">
        <v>127</v>
      </c>
    </row>
    <row r="21" spans="1:25" s="131" customFormat="1" ht="19.149999999999999" customHeight="1" x14ac:dyDescent="0.25">
      <c r="A21" s="124">
        <v>10</v>
      </c>
      <c r="B21" s="125" t="s">
        <v>70</v>
      </c>
      <c r="C21" s="126" t="s">
        <v>71</v>
      </c>
      <c r="D21" s="14" t="s">
        <v>80</v>
      </c>
      <c r="E21" s="42" t="s">
        <v>91</v>
      </c>
      <c r="F21" s="139" t="s">
        <v>96</v>
      </c>
      <c r="G21" s="124"/>
      <c r="H21" s="124"/>
      <c r="I21" s="126">
        <v>1991</v>
      </c>
      <c r="J21" s="126"/>
      <c r="K21" s="126" t="s">
        <v>74</v>
      </c>
      <c r="L21" s="126">
        <v>12</v>
      </c>
      <c r="M21" s="126">
        <v>2</v>
      </c>
      <c r="N21" s="127">
        <v>7950</v>
      </c>
      <c r="O21" s="127">
        <v>5063.8999999999996</v>
      </c>
      <c r="P21" s="127">
        <v>5003.3999999999996</v>
      </c>
      <c r="Q21" s="128">
        <v>143</v>
      </c>
      <c r="R21" s="127">
        <v>7873357.6399999997</v>
      </c>
      <c r="S21" s="127">
        <v>0</v>
      </c>
      <c r="T21" s="127">
        <v>0</v>
      </c>
      <c r="U21" s="127">
        <v>0</v>
      </c>
      <c r="V21" s="127">
        <v>7873357.6399999997</v>
      </c>
      <c r="W21" s="127">
        <f t="shared" si="1"/>
        <v>1554.8011690594205</v>
      </c>
      <c r="X21" s="129">
        <v>11424</v>
      </c>
      <c r="Y21" s="130" t="s">
        <v>127</v>
      </c>
    </row>
    <row r="22" spans="1:25" s="131" customFormat="1" ht="19.149999999999999" customHeight="1" x14ac:dyDescent="0.25">
      <c r="A22" s="124">
        <v>11</v>
      </c>
      <c r="B22" s="125" t="s">
        <v>70</v>
      </c>
      <c r="C22" s="125" t="s">
        <v>71</v>
      </c>
      <c r="D22" s="14" t="s">
        <v>78</v>
      </c>
      <c r="E22" s="42" t="s">
        <v>102</v>
      </c>
      <c r="F22" s="41">
        <v>1</v>
      </c>
      <c r="G22" s="124"/>
      <c r="H22" s="124"/>
      <c r="I22" s="126">
        <v>1980</v>
      </c>
      <c r="J22" s="126"/>
      <c r="K22" s="126" t="s">
        <v>75</v>
      </c>
      <c r="L22" s="126">
        <v>9</v>
      </c>
      <c r="M22" s="126">
        <v>5</v>
      </c>
      <c r="N22" s="127">
        <v>11253.1</v>
      </c>
      <c r="O22" s="127">
        <v>9682.7999999999993</v>
      </c>
      <c r="P22" s="127">
        <v>9147.2000000000007</v>
      </c>
      <c r="Q22" s="128">
        <v>470</v>
      </c>
      <c r="R22" s="127">
        <v>1968339.41</v>
      </c>
      <c r="S22" s="127">
        <v>0</v>
      </c>
      <c r="T22" s="127">
        <v>0</v>
      </c>
      <c r="U22" s="127">
        <v>0</v>
      </c>
      <c r="V22" s="127">
        <v>1968339.41</v>
      </c>
      <c r="W22" s="127">
        <f t="shared" si="1"/>
        <v>203.28204754822985</v>
      </c>
      <c r="X22" s="129">
        <v>11424</v>
      </c>
      <c r="Y22" s="130" t="s">
        <v>127</v>
      </c>
    </row>
    <row r="23" spans="1:25" s="140" customFormat="1" ht="16.899999999999999" customHeight="1" x14ac:dyDescent="0.25">
      <c r="A23" s="124">
        <v>12</v>
      </c>
      <c r="B23" s="125" t="s">
        <v>70</v>
      </c>
      <c r="C23" s="125" t="s">
        <v>71</v>
      </c>
      <c r="D23" s="14" t="s">
        <v>72</v>
      </c>
      <c r="E23" s="126" t="s">
        <v>76</v>
      </c>
      <c r="F23" s="201">
        <v>18</v>
      </c>
      <c r="G23" s="132"/>
      <c r="H23" s="132"/>
      <c r="I23" s="132">
        <v>1979</v>
      </c>
      <c r="J23" s="132"/>
      <c r="K23" s="202" t="s">
        <v>74</v>
      </c>
      <c r="L23" s="147">
        <v>9</v>
      </c>
      <c r="M23" s="147">
        <v>4</v>
      </c>
      <c r="N23" s="135">
        <v>7963</v>
      </c>
      <c r="O23" s="135">
        <v>7963</v>
      </c>
      <c r="P23" s="135">
        <v>7548</v>
      </c>
      <c r="Q23" s="148">
        <v>373</v>
      </c>
      <c r="R23" s="127">
        <v>7873357.6399999997</v>
      </c>
      <c r="S23" s="127">
        <v>0</v>
      </c>
      <c r="T23" s="127">
        <v>0</v>
      </c>
      <c r="U23" s="127">
        <v>0</v>
      </c>
      <c r="V23" s="135">
        <v>7873357.6399999997</v>
      </c>
      <c r="W23" s="135">
        <f t="shared" ref="W23" si="2">V23/O23</f>
        <v>988.74263970865252</v>
      </c>
      <c r="X23" s="172">
        <v>11424</v>
      </c>
      <c r="Y23" s="130" t="s">
        <v>127</v>
      </c>
    </row>
    <row r="24" spans="1:25" s="368" customFormat="1" ht="17.649999999999999" customHeight="1" x14ac:dyDescent="0.25">
      <c r="A24" s="41">
        <v>13</v>
      </c>
      <c r="B24" s="360" t="s">
        <v>70</v>
      </c>
      <c r="C24" s="360" t="s">
        <v>71</v>
      </c>
      <c r="D24" s="361" t="s">
        <v>78</v>
      </c>
      <c r="E24" s="40" t="s">
        <v>83</v>
      </c>
      <c r="F24" s="41">
        <v>1</v>
      </c>
      <c r="G24" s="362"/>
      <c r="H24" s="362"/>
      <c r="I24" s="363">
        <v>1939</v>
      </c>
      <c r="J24" s="363">
        <v>2018</v>
      </c>
      <c r="K24" s="363" t="s">
        <v>74</v>
      </c>
      <c r="L24" s="363">
        <v>2</v>
      </c>
      <c r="M24" s="363">
        <v>2</v>
      </c>
      <c r="N24" s="364">
        <v>517.4</v>
      </c>
      <c r="O24" s="364">
        <v>445.2</v>
      </c>
      <c r="P24" s="364">
        <v>223.8</v>
      </c>
      <c r="Q24" s="365">
        <v>35</v>
      </c>
      <c r="R24" s="364">
        <f>S24+T24+U24+V24</f>
        <v>2779355.6</v>
      </c>
      <c r="S24" s="364">
        <v>0</v>
      </c>
      <c r="T24" s="364">
        <v>0</v>
      </c>
      <c r="U24" s="364">
        <v>0</v>
      </c>
      <c r="V24" s="364">
        <v>2779355.6</v>
      </c>
      <c r="W24" s="364">
        <f>R24/O24</f>
        <v>6242.9371069182398</v>
      </c>
      <c r="X24" s="366">
        <v>11424</v>
      </c>
      <c r="Y24" s="367" t="s">
        <v>127</v>
      </c>
    </row>
    <row r="25" spans="1:25" s="131" customFormat="1" ht="19.149999999999999" customHeight="1" x14ac:dyDescent="0.25">
      <c r="A25" s="124">
        <v>14</v>
      </c>
      <c r="B25" s="125" t="s">
        <v>70</v>
      </c>
      <c r="C25" s="126" t="s">
        <v>71</v>
      </c>
      <c r="D25" s="14" t="s">
        <v>78</v>
      </c>
      <c r="E25" s="42" t="s">
        <v>95</v>
      </c>
      <c r="F25" s="41">
        <v>4</v>
      </c>
      <c r="G25" s="124"/>
      <c r="H25" s="124"/>
      <c r="I25" s="126">
        <v>1959</v>
      </c>
      <c r="J25" s="126"/>
      <c r="K25" s="126" t="s">
        <v>128</v>
      </c>
      <c r="L25" s="126">
        <v>2</v>
      </c>
      <c r="M25" s="126">
        <v>1</v>
      </c>
      <c r="N25" s="127">
        <v>436.5</v>
      </c>
      <c r="O25" s="127">
        <v>390.7</v>
      </c>
      <c r="P25" s="127">
        <v>345.5</v>
      </c>
      <c r="Q25" s="128">
        <v>22</v>
      </c>
      <c r="R25" s="127">
        <v>2034750.97</v>
      </c>
      <c r="S25" s="127">
        <v>0</v>
      </c>
      <c r="T25" s="127">
        <v>0</v>
      </c>
      <c r="U25" s="127">
        <v>0</v>
      </c>
      <c r="V25" s="127">
        <v>2034750.97</v>
      </c>
      <c r="W25" s="127">
        <f t="shared" ref="W25:W26" si="3">R25/O25</f>
        <v>5207.9625543895572</v>
      </c>
      <c r="X25" s="129">
        <v>11424</v>
      </c>
      <c r="Y25" s="130" t="s">
        <v>127</v>
      </c>
    </row>
    <row r="26" spans="1:25" s="131" customFormat="1" ht="19.149999999999999" customHeight="1" x14ac:dyDescent="0.25">
      <c r="A26" s="124">
        <v>15</v>
      </c>
      <c r="B26" s="125" t="s">
        <v>70</v>
      </c>
      <c r="C26" s="126" t="s">
        <v>71</v>
      </c>
      <c r="D26" s="14" t="s">
        <v>78</v>
      </c>
      <c r="E26" s="42" t="s">
        <v>95</v>
      </c>
      <c r="F26" s="41">
        <v>5</v>
      </c>
      <c r="G26" s="124"/>
      <c r="H26" s="124"/>
      <c r="I26" s="126">
        <v>1960</v>
      </c>
      <c r="J26" s="126"/>
      <c r="K26" s="126" t="s">
        <v>128</v>
      </c>
      <c r="L26" s="126">
        <v>2</v>
      </c>
      <c r="M26" s="126">
        <v>1</v>
      </c>
      <c r="N26" s="127">
        <v>435.3</v>
      </c>
      <c r="O26" s="127">
        <v>389.7</v>
      </c>
      <c r="P26" s="127">
        <v>329</v>
      </c>
      <c r="Q26" s="128">
        <v>17</v>
      </c>
      <c r="R26" s="127">
        <v>2023415.31</v>
      </c>
      <c r="S26" s="127">
        <v>0</v>
      </c>
      <c r="T26" s="127">
        <v>0</v>
      </c>
      <c r="U26" s="127">
        <v>0</v>
      </c>
      <c r="V26" s="127">
        <v>2023415.31</v>
      </c>
      <c r="W26" s="127">
        <f t="shared" si="3"/>
        <v>5192.2384141647426</v>
      </c>
      <c r="X26" s="129">
        <v>11424</v>
      </c>
      <c r="Y26" s="130" t="s">
        <v>127</v>
      </c>
    </row>
    <row r="27" spans="1:25" s="146" customFormat="1" ht="19.149999999999999" customHeight="1" x14ac:dyDescent="0.25">
      <c r="A27" s="41">
        <v>16</v>
      </c>
      <c r="B27" s="40" t="s">
        <v>70</v>
      </c>
      <c r="C27" s="40" t="s">
        <v>71</v>
      </c>
      <c r="D27" s="154" t="s">
        <v>78</v>
      </c>
      <c r="E27" s="42" t="s">
        <v>94</v>
      </c>
      <c r="F27" s="41">
        <v>1</v>
      </c>
      <c r="G27" s="42"/>
      <c r="H27" s="42"/>
      <c r="I27" s="42">
        <v>1963</v>
      </c>
      <c r="J27" s="42">
        <v>2019</v>
      </c>
      <c r="K27" s="40" t="s">
        <v>74</v>
      </c>
      <c r="L27" s="369">
        <v>4</v>
      </c>
      <c r="M27" s="369">
        <v>3</v>
      </c>
      <c r="N27" s="142">
        <v>2312</v>
      </c>
      <c r="O27" s="142">
        <v>2141.8000000000002</v>
      </c>
      <c r="P27" s="142">
        <v>2086.8000000000002</v>
      </c>
      <c r="Q27" s="143">
        <v>78</v>
      </c>
      <c r="R27" s="142">
        <f>S27+T27+U27+V27</f>
        <v>6713035.04</v>
      </c>
      <c r="S27" s="142">
        <v>0</v>
      </c>
      <c r="T27" s="142">
        <v>0</v>
      </c>
      <c r="U27" s="142">
        <v>0</v>
      </c>
      <c r="V27" s="142">
        <v>6713035.04</v>
      </c>
      <c r="W27" s="142">
        <f>R27/O27</f>
        <v>3134.295937996078</v>
      </c>
      <c r="X27" s="144">
        <v>11424</v>
      </c>
      <c r="Y27" s="145" t="s">
        <v>127</v>
      </c>
    </row>
    <row r="28" spans="1:25" s="141" customFormat="1" ht="19.149999999999999" customHeight="1" x14ac:dyDescent="0.25">
      <c r="A28" s="124">
        <v>17</v>
      </c>
      <c r="B28" s="125" t="s">
        <v>70</v>
      </c>
      <c r="C28" s="125" t="s">
        <v>71</v>
      </c>
      <c r="D28" s="14" t="s">
        <v>78</v>
      </c>
      <c r="E28" s="42" t="s">
        <v>94</v>
      </c>
      <c r="F28" s="41">
        <v>2</v>
      </c>
      <c r="G28" s="126"/>
      <c r="H28" s="126"/>
      <c r="I28" s="126">
        <v>1965</v>
      </c>
      <c r="J28" s="126"/>
      <c r="K28" s="126" t="s">
        <v>74</v>
      </c>
      <c r="L28" s="126">
        <v>4</v>
      </c>
      <c r="M28" s="126">
        <v>3</v>
      </c>
      <c r="N28" s="127">
        <v>1653.1</v>
      </c>
      <c r="O28" s="127">
        <v>1487.2</v>
      </c>
      <c r="P28" s="127">
        <v>1417.6</v>
      </c>
      <c r="Q28" s="126">
        <v>79</v>
      </c>
      <c r="R28" s="127">
        <v>12166842.380000001</v>
      </c>
      <c r="S28" s="127">
        <v>0</v>
      </c>
      <c r="T28" s="127">
        <v>0</v>
      </c>
      <c r="U28" s="127">
        <v>0</v>
      </c>
      <c r="V28" s="127">
        <v>12166842.380000001</v>
      </c>
      <c r="W28" s="127">
        <f>R28/O28</f>
        <v>8181.0397928994089</v>
      </c>
      <c r="X28" s="129">
        <v>11424</v>
      </c>
      <c r="Y28" s="130" t="s">
        <v>127</v>
      </c>
    </row>
    <row r="29" spans="1:25" s="146" customFormat="1" ht="19.149999999999999" customHeight="1" x14ac:dyDescent="0.25">
      <c r="A29" s="124">
        <v>18</v>
      </c>
      <c r="B29" s="40" t="s">
        <v>70</v>
      </c>
      <c r="C29" s="40" t="s">
        <v>71</v>
      </c>
      <c r="D29" s="154" t="s">
        <v>78</v>
      </c>
      <c r="E29" s="42" t="s">
        <v>94</v>
      </c>
      <c r="F29" s="41">
        <v>4</v>
      </c>
      <c r="G29" s="42"/>
      <c r="H29" s="42"/>
      <c r="I29" s="42">
        <v>1963</v>
      </c>
      <c r="J29" s="42"/>
      <c r="K29" s="42" t="s">
        <v>74</v>
      </c>
      <c r="L29" s="42">
        <v>4</v>
      </c>
      <c r="M29" s="42">
        <v>3</v>
      </c>
      <c r="N29" s="142">
        <v>2166</v>
      </c>
      <c r="O29" s="142">
        <v>1996.8</v>
      </c>
      <c r="P29" s="142">
        <v>1455.1</v>
      </c>
      <c r="Q29" s="143">
        <v>77</v>
      </c>
      <c r="R29" s="142">
        <v>11701955.35</v>
      </c>
      <c r="S29" s="142">
        <v>0</v>
      </c>
      <c r="T29" s="142">
        <v>0</v>
      </c>
      <c r="U29" s="142">
        <v>0</v>
      </c>
      <c r="V29" s="142">
        <v>11701955.35</v>
      </c>
      <c r="W29" s="142">
        <f>R29/O29</f>
        <v>5860.3542417868593</v>
      </c>
      <c r="X29" s="144">
        <v>11424</v>
      </c>
      <c r="Y29" s="145" t="s">
        <v>127</v>
      </c>
    </row>
    <row r="30" spans="1:25" s="146" customFormat="1" ht="19.149999999999999" customHeight="1" x14ac:dyDescent="0.25">
      <c r="A30" s="124">
        <v>19</v>
      </c>
      <c r="B30" s="40" t="s">
        <v>70</v>
      </c>
      <c r="C30" s="40" t="s">
        <v>71</v>
      </c>
      <c r="D30" s="154" t="s">
        <v>78</v>
      </c>
      <c r="E30" s="42" t="s">
        <v>94</v>
      </c>
      <c r="F30" s="41">
        <v>5</v>
      </c>
      <c r="G30" s="42"/>
      <c r="H30" s="42"/>
      <c r="I30" s="42">
        <v>1967</v>
      </c>
      <c r="J30" s="42">
        <v>2008</v>
      </c>
      <c r="K30" s="42" t="s">
        <v>74</v>
      </c>
      <c r="L30" s="42">
        <v>4</v>
      </c>
      <c r="M30" s="42">
        <v>3</v>
      </c>
      <c r="N30" s="142">
        <v>1671.2</v>
      </c>
      <c r="O30" s="142">
        <v>1501.5</v>
      </c>
      <c r="P30" s="142">
        <v>1458.7</v>
      </c>
      <c r="Q30" s="42">
        <v>69</v>
      </c>
      <c r="R30" s="142">
        <v>6544429.7599999998</v>
      </c>
      <c r="S30" s="142">
        <v>0</v>
      </c>
      <c r="T30" s="142">
        <v>0</v>
      </c>
      <c r="U30" s="142">
        <v>0</v>
      </c>
      <c r="V30" s="142">
        <v>6544429.7599999998</v>
      </c>
      <c r="W30" s="142">
        <f>R30/O30</f>
        <v>4358.5945787545788</v>
      </c>
      <c r="X30" s="144">
        <v>11424</v>
      </c>
      <c r="Y30" s="145" t="s">
        <v>127</v>
      </c>
    </row>
    <row r="31" spans="1:25" s="146" customFormat="1" ht="19.149999999999999" customHeight="1" x14ac:dyDescent="0.25">
      <c r="A31" s="41">
        <v>20</v>
      </c>
      <c r="B31" s="40" t="s">
        <v>70</v>
      </c>
      <c r="C31" s="40" t="s">
        <v>71</v>
      </c>
      <c r="D31" s="154" t="s">
        <v>78</v>
      </c>
      <c r="E31" s="40" t="s">
        <v>91</v>
      </c>
      <c r="F31" s="41">
        <v>2</v>
      </c>
      <c r="G31" s="42"/>
      <c r="H31" s="42"/>
      <c r="I31" s="40">
        <v>1988</v>
      </c>
      <c r="J31" s="209"/>
      <c r="K31" s="259" t="s">
        <v>77</v>
      </c>
      <c r="L31" s="268">
        <v>9</v>
      </c>
      <c r="M31" s="268">
        <v>5</v>
      </c>
      <c r="N31" s="224">
        <v>13691</v>
      </c>
      <c r="O31" s="224">
        <v>9226.6</v>
      </c>
      <c r="P31" s="142">
        <v>9226.6</v>
      </c>
      <c r="Q31" s="262">
        <v>506</v>
      </c>
      <c r="R31" s="142">
        <f t="shared" ref="R31:R32" si="4">S31+T31+U31+V31</f>
        <v>538600.4</v>
      </c>
      <c r="S31" s="142">
        <v>0</v>
      </c>
      <c r="T31" s="142">
        <v>0</v>
      </c>
      <c r="U31" s="142">
        <v>0</v>
      </c>
      <c r="V31" s="142">
        <v>538600.4</v>
      </c>
      <c r="W31" s="142">
        <f t="shared" ref="W31:W33" si="5">R31/O31</f>
        <v>58.374742592070753</v>
      </c>
      <c r="X31" s="144">
        <v>11424</v>
      </c>
      <c r="Y31" s="145" t="s">
        <v>127</v>
      </c>
    </row>
    <row r="32" spans="1:25" s="146" customFormat="1" ht="19.149999999999999" customHeight="1" x14ac:dyDescent="0.25">
      <c r="A32" s="41">
        <v>21</v>
      </c>
      <c r="B32" s="40" t="s">
        <v>70</v>
      </c>
      <c r="C32" s="40" t="s">
        <v>71</v>
      </c>
      <c r="D32" s="154" t="s">
        <v>78</v>
      </c>
      <c r="E32" s="40" t="s">
        <v>82</v>
      </c>
      <c r="F32" s="41">
        <v>42</v>
      </c>
      <c r="G32" s="42"/>
      <c r="H32" s="42"/>
      <c r="I32" s="40">
        <v>1993</v>
      </c>
      <c r="J32" s="209"/>
      <c r="K32" s="259" t="s">
        <v>77</v>
      </c>
      <c r="L32" s="268">
        <v>9</v>
      </c>
      <c r="M32" s="268">
        <v>3</v>
      </c>
      <c r="N32" s="224">
        <v>8329.2000000000007</v>
      </c>
      <c r="O32" s="224">
        <v>5704.8</v>
      </c>
      <c r="P32" s="142">
        <v>5704.8</v>
      </c>
      <c r="Q32" s="262">
        <v>237</v>
      </c>
      <c r="R32" s="142">
        <f t="shared" si="4"/>
        <v>352161.8</v>
      </c>
      <c r="S32" s="142">
        <v>0</v>
      </c>
      <c r="T32" s="142">
        <v>0</v>
      </c>
      <c r="U32" s="142">
        <v>0</v>
      </c>
      <c r="V32" s="142">
        <v>352161.8</v>
      </c>
      <c r="W32" s="142">
        <f t="shared" si="5"/>
        <v>61.730788108259709</v>
      </c>
      <c r="X32" s="144">
        <v>11424</v>
      </c>
      <c r="Y32" s="145" t="s">
        <v>127</v>
      </c>
    </row>
    <row r="33" spans="1:25" s="131" customFormat="1" ht="22.15" customHeight="1" thickBot="1" x14ac:dyDescent="0.3">
      <c r="A33" s="503" t="s">
        <v>129</v>
      </c>
      <c r="B33" s="504"/>
      <c r="C33" s="504"/>
      <c r="D33" s="504"/>
      <c r="E33" s="505"/>
      <c r="F33" s="149"/>
      <c r="G33" s="149"/>
      <c r="H33" s="149"/>
      <c r="I33" s="149" t="s">
        <v>69</v>
      </c>
      <c r="J33" s="149" t="s">
        <v>69</v>
      </c>
      <c r="K33" s="149" t="s">
        <v>69</v>
      </c>
      <c r="L33" s="149" t="s">
        <v>69</v>
      </c>
      <c r="M33" s="149" t="s">
        <v>69</v>
      </c>
      <c r="N33" s="150">
        <f>SUM(N12:N32)</f>
        <v>127547.3</v>
      </c>
      <c r="O33" s="150">
        <f>SUM(O12:O32)</f>
        <v>102001.50000000001</v>
      </c>
      <c r="P33" s="150">
        <f>SUM(P12:P32)</f>
        <v>98484.300000000032</v>
      </c>
      <c r="Q33" s="151">
        <f>SUM(Q12:Q32)</f>
        <v>4137</v>
      </c>
      <c r="R33" s="150">
        <f>SUM(R12:R32)</f>
        <v>119651444.19</v>
      </c>
      <c r="S33" s="150">
        <f>SUM(S12:S30)</f>
        <v>0</v>
      </c>
      <c r="T33" s="150">
        <f>SUM(T12:T30)</f>
        <v>0</v>
      </c>
      <c r="U33" s="150">
        <f>SUM(U12:U30)</f>
        <v>0</v>
      </c>
      <c r="V33" s="150">
        <f>SUM(V12:V32)</f>
        <v>119651444.19</v>
      </c>
      <c r="W33" s="150">
        <f t="shared" si="5"/>
        <v>1173.036123880531</v>
      </c>
      <c r="X33" s="152">
        <v>11424</v>
      </c>
      <c r="Y33" s="153" t="s">
        <v>69</v>
      </c>
    </row>
    <row r="34" spans="1:25" ht="10.15" customHeight="1" x14ac:dyDescent="0.25">
      <c r="A34" s="13"/>
      <c r="B34" s="14"/>
      <c r="C34" s="14"/>
      <c r="D34" s="14"/>
      <c r="E34" s="14"/>
      <c r="F34" s="15"/>
      <c r="G34" s="15"/>
      <c r="H34" s="15"/>
      <c r="I34" s="19"/>
      <c r="J34" s="19"/>
      <c r="K34" s="19"/>
      <c r="L34" s="20"/>
      <c r="M34" s="20"/>
      <c r="N34" s="16"/>
      <c r="O34" s="16"/>
      <c r="P34" s="16"/>
      <c r="Q34" s="21"/>
      <c r="R34" s="16"/>
      <c r="S34" s="16"/>
      <c r="T34" s="16"/>
      <c r="U34" s="16"/>
      <c r="V34" s="16"/>
      <c r="W34" s="17"/>
      <c r="X34" s="21"/>
      <c r="Y34" s="18"/>
    </row>
    <row r="35" spans="1:25" s="159" customFormat="1" ht="21" customHeight="1" x14ac:dyDescent="0.25">
      <c r="A35" s="496" t="s">
        <v>108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7"/>
      <c r="W35" s="497"/>
      <c r="X35" s="497"/>
      <c r="Y35" s="498"/>
    </row>
    <row r="36" spans="1:25" s="244" customFormat="1" ht="15.75" x14ac:dyDescent="0.25">
      <c r="A36" s="41">
        <v>1</v>
      </c>
      <c r="B36" s="208" t="s">
        <v>70</v>
      </c>
      <c r="C36" s="208" t="s">
        <v>71</v>
      </c>
      <c r="D36" s="231" t="s">
        <v>80</v>
      </c>
      <c r="E36" s="238" t="s">
        <v>81</v>
      </c>
      <c r="F36" s="239">
        <v>3</v>
      </c>
      <c r="G36" s="238"/>
      <c r="H36" s="238"/>
      <c r="I36" s="239">
        <v>1996</v>
      </c>
      <c r="J36" s="231"/>
      <c r="K36" s="240" t="s">
        <v>131</v>
      </c>
      <c r="L36" s="241">
        <v>5</v>
      </c>
      <c r="M36" s="241">
        <v>4</v>
      </c>
      <c r="N36" s="242">
        <v>3394.4</v>
      </c>
      <c r="O36" s="242">
        <v>2946.1</v>
      </c>
      <c r="P36" s="242">
        <v>2946.1</v>
      </c>
      <c r="Q36" s="243">
        <v>111</v>
      </c>
      <c r="R36" s="142">
        <f t="shared" ref="R36:R82" si="6">S36+T36+U36+V36</f>
        <v>252000</v>
      </c>
      <c r="S36" s="142">
        <v>0</v>
      </c>
      <c r="T36" s="142">
        <v>0</v>
      </c>
      <c r="U36" s="142">
        <v>0</v>
      </c>
      <c r="V36" s="206">
        <v>252000</v>
      </c>
      <c r="W36" s="142">
        <f>R36/O36</f>
        <v>85.536811377753637</v>
      </c>
      <c r="X36" s="205">
        <v>11424</v>
      </c>
      <c r="Y36" s="139" t="s">
        <v>132</v>
      </c>
    </row>
    <row r="37" spans="1:25" s="244" customFormat="1" ht="15.75" x14ac:dyDescent="0.25">
      <c r="A37" s="41">
        <v>2</v>
      </c>
      <c r="B37" s="208" t="s">
        <v>70</v>
      </c>
      <c r="C37" s="208" t="s">
        <v>71</v>
      </c>
      <c r="D37" s="231" t="s">
        <v>80</v>
      </c>
      <c r="E37" s="238" t="s">
        <v>81</v>
      </c>
      <c r="F37" s="239">
        <v>5</v>
      </c>
      <c r="G37" s="245"/>
      <c r="H37" s="245"/>
      <c r="I37" s="246">
        <v>1995</v>
      </c>
      <c r="J37" s="245"/>
      <c r="K37" s="240" t="s">
        <v>131</v>
      </c>
      <c r="L37" s="241">
        <v>5</v>
      </c>
      <c r="M37" s="245">
        <v>8</v>
      </c>
      <c r="N37" s="247">
        <v>7184.5999999999995</v>
      </c>
      <c r="O37" s="247">
        <v>6294.4</v>
      </c>
      <c r="P37" s="247">
        <v>6294.4</v>
      </c>
      <c r="Q37" s="248">
        <v>276</v>
      </c>
      <c r="R37" s="142">
        <f t="shared" si="6"/>
        <v>467040</v>
      </c>
      <c r="S37" s="142">
        <v>0</v>
      </c>
      <c r="T37" s="142">
        <v>0</v>
      </c>
      <c r="U37" s="142">
        <v>0</v>
      </c>
      <c r="V37" s="206">
        <v>467040</v>
      </c>
      <c r="W37" s="142">
        <f>R37/O37</f>
        <v>74.19928825622776</v>
      </c>
      <c r="X37" s="249">
        <v>11424</v>
      </c>
      <c r="Y37" s="139" t="s">
        <v>132</v>
      </c>
    </row>
    <row r="38" spans="1:25" s="244" customFormat="1" ht="15.75" x14ac:dyDescent="0.25">
      <c r="A38" s="41">
        <v>3</v>
      </c>
      <c r="B38" s="208" t="s">
        <v>70</v>
      </c>
      <c r="C38" s="208" t="s">
        <v>71</v>
      </c>
      <c r="D38" s="231" t="s">
        <v>80</v>
      </c>
      <c r="E38" s="238" t="s">
        <v>81</v>
      </c>
      <c r="F38" s="239">
        <v>11</v>
      </c>
      <c r="G38" s="238"/>
      <c r="H38" s="238"/>
      <c r="I38" s="239">
        <v>1996</v>
      </c>
      <c r="J38" s="233">
        <v>2016</v>
      </c>
      <c r="K38" s="240" t="s">
        <v>131</v>
      </c>
      <c r="L38" s="241">
        <v>5</v>
      </c>
      <c r="M38" s="241">
        <v>6</v>
      </c>
      <c r="N38" s="242">
        <v>5131.3</v>
      </c>
      <c r="O38" s="250">
        <v>4431.1000000000004</v>
      </c>
      <c r="P38" s="242">
        <v>4431.1000000000004</v>
      </c>
      <c r="Q38" s="248">
        <v>218</v>
      </c>
      <c r="R38" s="142">
        <f t="shared" si="6"/>
        <v>356160</v>
      </c>
      <c r="S38" s="142">
        <v>0</v>
      </c>
      <c r="T38" s="142">
        <v>0</v>
      </c>
      <c r="U38" s="142">
        <v>0</v>
      </c>
      <c r="V38" s="251">
        <v>356160</v>
      </c>
      <c r="W38" s="142">
        <f>R38/O38</f>
        <v>80.37733294215883</v>
      </c>
      <c r="X38" s="205">
        <v>11424</v>
      </c>
      <c r="Y38" s="139" t="s">
        <v>132</v>
      </c>
    </row>
    <row r="39" spans="1:25" s="244" customFormat="1" ht="15.75" x14ac:dyDescent="0.25">
      <c r="A39" s="41">
        <v>4</v>
      </c>
      <c r="B39" s="208" t="s">
        <v>70</v>
      </c>
      <c r="C39" s="208" t="s">
        <v>71</v>
      </c>
      <c r="D39" s="231" t="s">
        <v>80</v>
      </c>
      <c r="E39" s="238" t="s">
        <v>81</v>
      </c>
      <c r="F39" s="252">
        <v>39</v>
      </c>
      <c r="G39" s="232"/>
      <c r="H39" s="232"/>
      <c r="I39" s="252">
        <v>1992</v>
      </c>
      <c r="J39" s="232"/>
      <c r="K39" s="240" t="s">
        <v>131</v>
      </c>
      <c r="L39" s="241">
        <v>5</v>
      </c>
      <c r="M39" s="232">
        <v>8</v>
      </c>
      <c r="N39" s="253">
        <v>7081.5</v>
      </c>
      <c r="O39" s="253">
        <v>6269.2</v>
      </c>
      <c r="P39" s="242">
        <v>6269.2</v>
      </c>
      <c r="Q39" s="248">
        <v>259</v>
      </c>
      <c r="R39" s="142">
        <f t="shared" si="6"/>
        <v>498960</v>
      </c>
      <c r="S39" s="142">
        <v>0</v>
      </c>
      <c r="T39" s="142">
        <v>0</v>
      </c>
      <c r="U39" s="142">
        <v>0</v>
      </c>
      <c r="V39" s="142">
        <v>498960</v>
      </c>
      <c r="W39" s="142">
        <f>R39/O39</f>
        <v>79.589102277802596</v>
      </c>
      <c r="X39" s="249">
        <v>11424</v>
      </c>
      <c r="Y39" s="139" t="s">
        <v>132</v>
      </c>
    </row>
    <row r="40" spans="1:25" s="244" customFormat="1" ht="15.75" x14ac:dyDescent="0.25">
      <c r="A40" s="41">
        <v>5</v>
      </c>
      <c r="B40" s="208" t="s">
        <v>70</v>
      </c>
      <c r="C40" s="208" t="s">
        <v>71</v>
      </c>
      <c r="D40" s="231" t="s">
        <v>78</v>
      </c>
      <c r="E40" s="40" t="s">
        <v>111</v>
      </c>
      <c r="F40" s="254" t="s">
        <v>112</v>
      </c>
      <c r="G40" s="208"/>
      <c r="H40" s="208"/>
      <c r="I40" s="233">
        <v>1955</v>
      </c>
      <c r="J40" s="233"/>
      <c r="K40" s="234" t="s">
        <v>74</v>
      </c>
      <c r="L40" s="235">
        <v>4</v>
      </c>
      <c r="M40" s="235">
        <v>4</v>
      </c>
      <c r="N40" s="207">
        <v>3149.3</v>
      </c>
      <c r="O40" s="207">
        <v>2856.8</v>
      </c>
      <c r="P40" s="255">
        <v>2681.8</v>
      </c>
      <c r="Q40" s="236">
        <v>103</v>
      </c>
      <c r="R40" s="206">
        <f t="shared" si="6"/>
        <v>9139680</v>
      </c>
      <c r="S40" s="204">
        <v>0</v>
      </c>
      <c r="T40" s="204">
        <v>0</v>
      </c>
      <c r="U40" s="204">
        <v>0</v>
      </c>
      <c r="V40" s="206">
        <v>9139680</v>
      </c>
      <c r="W40" s="207">
        <f>V40/O40</f>
        <v>3199.2719126295156</v>
      </c>
      <c r="X40" s="205">
        <v>11424</v>
      </c>
      <c r="Y40" s="139" t="s">
        <v>132</v>
      </c>
    </row>
    <row r="41" spans="1:25" s="210" customFormat="1" ht="15.75" x14ac:dyDescent="0.25">
      <c r="A41" s="41">
        <v>6</v>
      </c>
      <c r="B41" s="208" t="s">
        <v>70</v>
      </c>
      <c r="C41" s="208" t="s">
        <v>71</v>
      </c>
      <c r="D41" s="209" t="s">
        <v>80</v>
      </c>
      <c r="E41" s="232" t="s">
        <v>82</v>
      </c>
      <c r="F41" s="252">
        <v>31</v>
      </c>
      <c r="G41" s="252"/>
      <c r="H41" s="252"/>
      <c r="I41" s="252">
        <v>1984</v>
      </c>
      <c r="J41" s="252"/>
      <c r="K41" s="232" t="s">
        <v>75</v>
      </c>
      <c r="L41" s="232">
        <v>9</v>
      </c>
      <c r="M41" s="232">
        <v>4</v>
      </c>
      <c r="N41" s="232">
        <f>7328.5+1164.4</f>
        <v>8492.9</v>
      </c>
      <c r="O41" s="232">
        <v>7328.5</v>
      </c>
      <c r="P41" s="232">
        <f>O41-100.8</f>
        <v>7227.7</v>
      </c>
      <c r="Q41" s="232">
        <v>339</v>
      </c>
      <c r="R41" s="206">
        <f t="shared" si="6"/>
        <v>5343692</v>
      </c>
      <c r="S41" s="204">
        <v>0</v>
      </c>
      <c r="T41" s="204">
        <v>0</v>
      </c>
      <c r="U41" s="204">
        <v>0</v>
      </c>
      <c r="V41" s="204">
        <v>5343692</v>
      </c>
      <c r="W41" s="204">
        <f>R41/O41</f>
        <v>729.16585931636757</v>
      </c>
      <c r="X41" s="205">
        <v>11424</v>
      </c>
      <c r="Y41" s="139" t="s">
        <v>132</v>
      </c>
    </row>
    <row r="42" spans="1:25" s="210" customFormat="1" ht="16.899999999999999" customHeight="1" x14ac:dyDescent="0.25">
      <c r="A42" s="41">
        <v>7</v>
      </c>
      <c r="B42" s="208" t="s">
        <v>70</v>
      </c>
      <c r="C42" s="208" t="s">
        <v>71</v>
      </c>
      <c r="D42" s="209" t="s">
        <v>78</v>
      </c>
      <c r="E42" s="42" t="s">
        <v>95</v>
      </c>
      <c r="F42" s="221">
        <v>6</v>
      </c>
      <c r="G42" s="256"/>
      <c r="H42" s="221"/>
      <c r="I42" s="221">
        <v>1959</v>
      </c>
      <c r="J42" s="221"/>
      <c r="K42" s="222" t="s">
        <v>135</v>
      </c>
      <c r="L42" s="223">
        <v>2</v>
      </c>
      <c r="M42" s="223">
        <v>1</v>
      </c>
      <c r="N42" s="204">
        <v>443</v>
      </c>
      <c r="O42" s="204">
        <v>397.4</v>
      </c>
      <c r="P42" s="204">
        <v>306</v>
      </c>
      <c r="Q42" s="225">
        <v>16</v>
      </c>
      <c r="R42" s="206">
        <f t="shared" si="6"/>
        <v>2190744</v>
      </c>
      <c r="S42" s="204">
        <v>0</v>
      </c>
      <c r="T42" s="204">
        <v>0</v>
      </c>
      <c r="U42" s="204">
        <v>0</v>
      </c>
      <c r="V42" s="204">
        <v>2190744</v>
      </c>
      <c r="W42" s="204">
        <f>R42/O42</f>
        <v>5512.6925012581787</v>
      </c>
      <c r="X42" s="205">
        <v>11424</v>
      </c>
      <c r="Y42" s="139" t="s">
        <v>132</v>
      </c>
    </row>
    <row r="43" spans="1:25" s="210" customFormat="1" ht="15.75" x14ac:dyDescent="0.25">
      <c r="A43" s="41">
        <v>8</v>
      </c>
      <c r="B43" s="208" t="s">
        <v>70</v>
      </c>
      <c r="C43" s="208" t="s">
        <v>71</v>
      </c>
      <c r="D43" s="209" t="s">
        <v>80</v>
      </c>
      <c r="E43" s="232" t="s">
        <v>85</v>
      </c>
      <c r="F43" s="252">
        <v>1</v>
      </c>
      <c r="G43" s="252"/>
      <c r="H43" s="252"/>
      <c r="I43" s="252">
        <v>1980</v>
      </c>
      <c r="J43" s="252"/>
      <c r="K43" s="232" t="s">
        <v>75</v>
      </c>
      <c r="L43" s="232">
        <v>9</v>
      </c>
      <c r="M43" s="232">
        <v>5</v>
      </c>
      <c r="N43" s="232">
        <f>9737.9+1516.2</f>
        <v>11254.1</v>
      </c>
      <c r="O43" s="232">
        <v>9737.9</v>
      </c>
      <c r="P43" s="232">
        <f>O43-535.6</f>
        <v>9202.2999999999993</v>
      </c>
      <c r="Q43" s="232">
        <v>368</v>
      </c>
      <c r="R43" s="206">
        <f t="shared" si="6"/>
        <v>7171166.4000000004</v>
      </c>
      <c r="S43" s="204">
        <v>0</v>
      </c>
      <c r="T43" s="204">
        <v>0</v>
      </c>
      <c r="U43" s="204">
        <v>0</v>
      </c>
      <c r="V43" s="204">
        <v>7171166.4000000004</v>
      </c>
      <c r="W43" s="204">
        <f>R43/O43</f>
        <v>736.4181599728895</v>
      </c>
      <c r="X43" s="205">
        <v>11424</v>
      </c>
      <c r="Y43" s="139" t="s">
        <v>132</v>
      </c>
    </row>
    <row r="44" spans="1:25" s="244" customFormat="1" ht="15.75" x14ac:dyDescent="0.25">
      <c r="A44" s="41">
        <v>9</v>
      </c>
      <c r="B44" s="41" t="s">
        <v>70</v>
      </c>
      <c r="C44" s="41" t="s">
        <v>71</v>
      </c>
      <c r="D44" s="40" t="s">
        <v>78</v>
      </c>
      <c r="E44" s="42" t="s">
        <v>114</v>
      </c>
      <c r="F44" s="41">
        <v>37</v>
      </c>
      <c r="G44" s="208"/>
      <c r="H44" s="208"/>
      <c r="I44" s="252">
        <v>1960</v>
      </c>
      <c r="J44" s="252"/>
      <c r="K44" s="232" t="s">
        <v>74</v>
      </c>
      <c r="L44" s="232">
        <v>4</v>
      </c>
      <c r="M44" s="232">
        <v>2</v>
      </c>
      <c r="N44" s="232">
        <v>1948.9</v>
      </c>
      <c r="O44" s="232">
        <v>1336.7</v>
      </c>
      <c r="P44" s="232">
        <v>1336.7</v>
      </c>
      <c r="Q44" s="232">
        <v>50</v>
      </c>
      <c r="R44" s="206">
        <f t="shared" si="6"/>
        <v>3662384.4</v>
      </c>
      <c r="S44" s="204">
        <v>0</v>
      </c>
      <c r="T44" s="204">
        <v>0</v>
      </c>
      <c r="U44" s="204">
        <v>0</v>
      </c>
      <c r="V44" s="257">
        <v>3662384.4</v>
      </c>
      <c r="W44" s="207">
        <f>V44/O44</f>
        <v>2739.8701279269844</v>
      </c>
      <c r="X44" s="205">
        <v>11424</v>
      </c>
      <c r="Y44" s="139" t="s">
        <v>132</v>
      </c>
    </row>
    <row r="45" spans="1:25" s="244" customFormat="1" ht="15.75" x14ac:dyDescent="0.25">
      <c r="A45" s="41">
        <v>10</v>
      </c>
      <c r="B45" s="41" t="s">
        <v>70</v>
      </c>
      <c r="C45" s="41" t="s">
        <v>71</v>
      </c>
      <c r="D45" s="40" t="s">
        <v>78</v>
      </c>
      <c r="E45" s="42" t="s">
        <v>114</v>
      </c>
      <c r="F45" s="41">
        <v>43</v>
      </c>
      <c r="G45" s="208"/>
      <c r="H45" s="208"/>
      <c r="I45" s="252">
        <v>1960</v>
      </c>
      <c r="J45" s="252"/>
      <c r="K45" s="232" t="s">
        <v>74</v>
      </c>
      <c r="L45" s="232">
        <v>4</v>
      </c>
      <c r="M45" s="232">
        <v>4</v>
      </c>
      <c r="N45" s="232">
        <v>3906.7</v>
      </c>
      <c r="O45" s="232">
        <v>2526</v>
      </c>
      <c r="P45" s="232">
        <v>2526</v>
      </c>
      <c r="Q45" s="232">
        <v>102</v>
      </c>
      <c r="R45" s="206">
        <f t="shared" si="6"/>
        <v>7051564.7999999998</v>
      </c>
      <c r="S45" s="204">
        <v>0</v>
      </c>
      <c r="T45" s="204">
        <v>0</v>
      </c>
      <c r="U45" s="204">
        <v>0</v>
      </c>
      <c r="V45" s="257">
        <v>7051564.7999999998</v>
      </c>
      <c r="W45" s="207">
        <f t="shared" ref="W45:W50" si="7">V45/O45</f>
        <v>2791.593349168646</v>
      </c>
      <c r="X45" s="205">
        <v>11424</v>
      </c>
      <c r="Y45" s="139" t="s">
        <v>132</v>
      </c>
    </row>
    <row r="46" spans="1:25" s="244" customFormat="1" ht="15.75" x14ac:dyDescent="0.25">
      <c r="A46" s="41">
        <v>11</v>
      </c>
      <c r="B46" s="208" t="s">
        <v>70</v>
      </c>
      <c r="C46" s="208" t="s">
        <v>71</v>
      </c>
      <c r="D46" s="231" t="s">
        <v>78</v>
      </c>
      <c r="E46" s="232" t="s">
        <v>113</v>
      </c>
      <c r="F46" s="233">
        <v>9</v>
      </c>
      <c r="G46" s="258"/>
      <c r="H46" s="258"/>
      <c r="I46" s="233">
        <v>1967</v>
      </c>
      <c r="J46" s="233"/>
      <c r="K46" s="234" t="s">
        <v>74</v>
      </c>
      <c r="L46" s="235">
        <v>5</v>
      </c>
      <c r="M46" s="235">
        <v>6</v>
      </c>
      <c r="N46" s="207">
        <v>5694.8</v>
      </c>
      <c r="O46" s="207">
        <v>5292.3</v>
      </c>
      <c r="P46" s="207">
        <v>5073.7</v>
      </c>
      <c r="Q46" s="236">
        <v>282</v>
      </c>
      <c r="R46" s="206">
        <f t="shared" si="6"/>
        <v>7286566.4000000004</v>
      </c>
      <c r="S46" s="204">
        <v>0</v>
      </c>
      <c r="T46" s="204">
        <v>0</v>
      </c>
      <c r="U46" s="204">
        <v>0</v>
      </c>
      <c r="V46" s="226">
        <v>7286566.4000000004</v>
      </c>
      <c r="W46" s="207">
        <f t="shared" si="7"/>
        <v>1376.8241407327628</v>
      </c>
      <c r="X46" s="205">
        <v>11424</v>
      </c>
      <c r="Y46" s="139" t="s">
        <v>132</v>
      </c>
    </row>
    <row r="47" spans="1:25" s="210" customFormat="1" ht="16.899999999999999" customHeight="1" x14ac:dyDescent="0.25">
      <c r="A47" s="41">
        <v>12</v>
      </c>
      <c r="B47" s="208" t="s">
        <v>70</v>
      </c>
      <c r="C47" s="208" t="s">
        <v>71</v>
      </c>
      <c r="D47" s="209" t="s">
        <v>78</v>
      </c>
      <c r="E47" s="42" t="s">
        <v>138</v>
      </c>
      <c r="F47" s="221">
        <v>5</v>
      </c>
      <c r="G47" s="209"/>
      <c r="H47" s="221"/>
      <c r="I47" s="221">
        <v>1967</v>
      </c>
      <c r="J47" s="221"/>
      <c r="K47" s="222" t="s">
        <v>74</v>
      </c>
      <c r="L47" s="223">
        <v>4</v>
      </c>
      <c r="M47" s="223">
        <v>3</v>
      </c>
      <c r="N47" s="204">
        <v>2010.1</v>
      </c>
      <c r="O47" s="204">
        <v>2010.1</v>
      </c>
      <c r="P47" s="224">
        <v>1980.1</v>
      </c>
      <c r="Q47" s="225">
        <v>76</v>
      </c>
      <c r="R47" s="206">
        <f t="shared" si="6"/>
        <v>6434303</v>
      </c>
      <c r="S47" s="204">
        <v>0</v>
      </c>
      <c r="T47" s="204">
        <v>0</v>
      </c>
      <c r="U47" s="204">
        <v>0</v>
      </c>
      <c r="V47" s="204">
        <v>6434303</v>
      </c>
      <c r="W47" s="204">
        <f t="shared" si="7"/>
        <v>3200.9865180836778</v>
      </c>
      <c r="X47" s="205">
        <v>11424</v>
      </c>
      <c r="Y47" s="139" t="s">
        <v>132</v>
      </c>
    </row>
    <row r="48" spans="1:25" s="244" customFormat="1" ht="15.75" x14ac:dyDescent="0.25">
      <c r="A48" s="41">
        <v>13</v>
      </c>
      <c r="B48" s="208" t="s">
        <v>70</v>
      </c>
      <c r="C48" s="208" t="s">
        <v>71</v>
      </c>
      <c r="D48" s="231" t="s">
        <v>78</v>
      </c>
      <c r="E48" s="232" t="s">
        <v>86</v>
      </c>
      <c r="F48" s="233">
        <v>14</v>
      </c>
      <c r="G48" s="258"/>
      <c r="H48" s="221" t="s">
        <v>88</v>
      </c>
      <c r="I48" s="233">
        <v>1972</v>
      </c>
      <c r="J48" s="233"/>
      <c r="K48" s="234" t="s">
        <v>74</v>
      </c>
      <c r="L48" s="235">
        <v>5</v>
      </c>
      <c r="M48" s="235">
        <v>4</v>
      </c>
      <c r="N48" s="207">
        <v>3772</v>
      </c>
      <c r="O48" s="207">
        <v>3465</v>
      </c>
      <c r="P48" s="207">
        <v>3415.2</v>
      </c>
      <c r="Q48" s="236">
        <v>178</v>
      </c>
      <c r="R48" s="206">
        <f t="shared" si="6"/>
        <v>4508657.5999999996</v>
      </c>
      <c r="S48" s="204">
        <v>0</v>
      </c>
      <c r="T48" s="204">
        <v>0</v>
      </c>
      <c r="U48" s="204">
        <v>0</v>
      </c>
      <c r="V48" s="226">
        <v>4508657.5999999996</v>
      </c>
      <c r="W48" s="207">
        <f t="shared" si="7"/>
        <v>1301.1998845598844</v>
      </c>
      <c r="X48" s="205">
        <v>11424</v>
      </c>
      <c r="Y48" s="139" t="s">
        <v>132</v>
      </c>
    </row>
    <row r="49" spans="1:25" s="244" customFormat="1" ht="15.75" x14ac:dyDescent="0.25">
      <c r="A49" s="41">
        <v>14</v>
      </c>
      <c r="B49" s="41" t="s">
        <v>70</v>
      </c>
      <c r="C49" s="41" t="s">
        <v>71</v>
      </c>
      <c r="D49" s="40" t="s">
        <v>78</v>
      </c>
      <c r="E49" s="42" t="s">
        <v>92</v>
      </c>
      <c r="F49" s="41">
        <v>3</v>
      </c>
      <c r="G49" s="208"/>
      <c r="H49" s="208"/>
      <c r="I49" s="252">
        <v>1963</v>
      </c>
      <c r="J49" s="252"/>
      <c r="K49" s="232" t="s">
        <v>74</v>
      </c>
      <c r="L49" s="232">
        <v>5</v>
      </c>
      <c r="M49" s="232">
        <v>4</v>
      </c>
      <c r="N49" s="232">
        <v>5208.3</v>
      </c>
      <c r="O49" s="232">
        <v>2763.3</v>
      </c>
      <c r="P49" s="232">
        <v>2763.3</v>
      </c>
      <c r="Q49" s="232">
        <v>144</v>
      </c>
      <c r="R49" s="206">
        <f t="shared" si="6"/>
        <v>7199244</v>
      </c>
      <c r="S49" s="204">
        <v>0</v>
      </c>
      <c r="T49" s="204">
        <v>0</v>
      </c>
      <c r="U49" s="204">
        <v>0</v>
      </c>
      <c r="V49" s="257">
        <v>7199244</v>
      </c>
      <c r="W49" s="207">
        <f t="shared" si="7"/>
        <v>2605.3066985126479</v>
      </c>
      <c r="X49" s="205">
        <v>11424</v>
      </c>
      <c r="Y49" s="139" t="s">
        <v>132</v>
      </c>
    </row>
    <row r="50" spans="1:25" s="244" customFormat="1" ht="15.75" x14ac:dyDescent="0.25">
      <c r="A50" s="41">
        <v>15</v>
      </c>
      <c r="B50" s="41" t="s">
        <v>70</v>
      </c>
      <c r="C50" s="41" t="s">
        <v>71</v>
      </c>
      <c r="D50" s="40" t="s">
        <v>78</v>
      </c>
      <c r="E50" s="42" t="s">
        <v>87</v>
      </c>
      <c r="F50" s="41">
        <v>2</v>
      </c>
      <c r="G50" s="208"/>
      <c r="H50" s="208"/>
      <c r="I50" s="252">
        <v>1961</v>
      </c>
      <c r="J50" s="252"/>
      <c r="K50" s="209" t="s">
        <v>74</v>
      </c>
      <c r="L50" s="232">
        <v>4</v>
      </c>
      <c r="M50" s="232">
        <v>4</v>
      </c>
      <c r="N50" s="232">
        <v>2752.7</v>
      </c>
      <c r="O50" s="232">
        <v>2538.9</v>
      </c>
      <c r="P50" s="232">
        <v>2422.1</v>
      </c>
      <c r="Q50" s="232">
        <v>126</v>
      </c>
      <c r="R50" s="206">
        <f t="shared" si="6"/>
        <v>6658898.4000000004</v>
      </c>
      <c r="S50" s="204">
        <v>0</v>
      </c>
      <c r="T50" s="204">
        <v>0</v>
      </c>
      <c r="U50" s="204">
        <v>0</v>
      </c>
      <c r="V50" s="257">
        <v>6658898.4000000004</v>
      </c>
      <c r="W50" s="207">
        <f t="shared" si="7"/>
        <v>2622.7493796526055</v>
      </c>
      <c r="X50" s="205">
        <v>11424</v>
      </c>
      <c r="Y50" s="139" t="s">
        <v>132</v>
      </c>
    </row>
    <row r="51" spans="1:25" s="210" customFormat="1" ht="16.899999999999999" customHeight="1" x14ac:dyDescent="0.25">
      <c r="A51" s="41">
        <v>16</v>
      </c>
      <c r="B51" s="208" t="s">
        <v>70</v>
      </c>
      <c r="C51" s="208" t="s">
        <v>71</v>
      </c>
      <c r="D51" s="209" t="s">
        <v>80</v>
      </c>
      <c r="E51" s="42" t="s">
        <v>87</v>
      </c>
      <c r="F51" s="221">
        <v>66</v>
      </c>
      <c r="G51" s="209"/>
      <c r="H51" s="221"/>
      <c r="I51" s="221">
        <v>2000</v>
      </c>
      <c r="J51" s="221"/>
      <c r="K51" s="259" t="s">
        <v>131</v>
      </c>
      <c r="L51" s="223">
        <v>5</v>
      </c>
      <c r="M51" s="223">
        <v>2</v>
      </c>
      <c r="N51" s="260">
        <v>1900.3999999999999</v>
      </c>
      <c r="O51" s="260">
        <v>1681.8</v>
      </c>
      <c r="P51" s="261">
        <v>1681.8</v>
      </c>
      <c r="Q51" s="262">
        <v>68</v>
      </c>
      <c r="R51" s="206">
        <f t="shared" si="6"/>
        <v>2461000</v>
      </c>
      <c r="S51" s="204">
        <v>0</v>
      </c>
      <c r="T51" s="204">
        <v>0</v>
      </c>
      <c r="U51" s="204">
        <v>0</v>
      </c>
      <c r="V51" s="204">
        <v>2461000</v>
      </c>
      <c r="W51" s="204">
        <f>R51/O51</f>
        <v>1463.313116898561</v>
      </c>
      <c r="X51" s="205">
        <v>11424</v>
      </c>
      <c r="Y51" s="139" t="s">
        <v>132</v>
      </c>
    </row>
    <row r="52" spans="1:25" s="210" customFormat="1" ht="16.5" customHeight="1" x14ac:dyDescent="0.25">
      <c r="A52" s="41">
        <v>17</v>
      </c>
      <c r="B52" s="208" t="s">
        <v>70</v>
      </c>
      <c r="C52" s="208" t="s">
        <v>71</v>
      </c>
      <c r="D52" s="209" t="s">
        <v>72</v>
      </c>
      <c r="E52" s="42" t="s">
        <v>122</v>
      </c>
      <c r="F52" s="221">
        <v>16</v>
      </c>
      <c r="G52" s="209"/>
      <c r="H52" s="221"/>
      <c r="I52" s="221">
        <v>1947</v>
      </c>
      <c r="J52" s="221"/>
      <c r="K52" s="222" t="s">
        <v>74</v>
      </c>
      <c r="L52" s="223">
        <v>4</v>
      </c>
      <c r="M52" s="223">
        <v>3</v>
      </c>
      <c r="N52" s="260">
        <v>2586.5</v>
      </c>
      <c r="O52" s="260">
        <v>2344.3000000000002</v>
      </c>
      <c r="P52" s="204">
        <v>2125.4</v>
      </c>
      <c r="Q52" s="225">
        <v>88</v>
      </c>
      <c r="R52" s="206">
        <f t="shared" si="6"/>
        <v>6054444</v>
      </c>
      <c r="S52" s="204">
        <v>0</v>
      </c>
      <c r="T52" s="204">
        <v>0</v>
      </c>
      <c r="U52" s="204">
        <v>0</v>
      </c>
      <c r="V52" s="204">
        <v>6054444</v>
      </c>
      <c r="W52" s="204">
        <f>R52/O52</f>
        <v>2582.6233843791319</v>
      </c>
      <c r="X52" s="205">
        <v>11424</v>
      </c>
      <c r="Y52" s="139" t="s">
        <v>132</v>
      </c>
    </row>
    <row r="53" spans="1:25" s="244" customFormat="1" ht="15.75" x14ac:dyDescent="0.25">
      <c r="A53" s="41">
        <v>18</v>
      </c>
      <c r="B53" s="41" t="s">
        <v>70</v>
      </c>
      <c r="C53" s="41" t="s">
        <v>71</v>
      </c>
      <c r="D53" s="40" t="s">
        <v>72</v>
      </c>
      <c r="E53" s="42" t="s">
        <v>73</v>
      </c>
      <c r="F53" s="41">
        <v>52</v>
      </c>
      <c r="G53" s="208"/>
      <c r="H53" s="208"/>
      <c r="I53" s="252">
        <v>1966</v>
      </c>
      <c r="J53" s="252"/>
      <c r="K53" s="209" t="s">
        <v>74</v>
      </c>
      <c r="L53" s="232">
        <v>5</v>
      </c>
      <c r="M53" s="232">
        <v>3</v>
      </c>
      <c r="N53" s="232">
        <v>2758.2</v>
      </c>
      <c r="O53" s="232">
        <v>2545.5</v>
      </c>
      <c r="P53" s="232">
        <v>2314.9</v>
      </c>
      <c r="Q53" s="232">
        <v>113</v>
      </c>
      <c r="R53" s="206">
        <f t="shared" si="6"/>
        <v>5344668</v>
      </c>
      <c r="S53" s="204">
        <v>0</v>
      </c>
      <c r="T53" s="204">
        <v>0</v>
      </c>
      <c r="U53" s="204">
        <v>0</v>
      </c>
      <c r="V53" s="257">
        <v>5344668</v>
      </c>
      <c r="W53" s="207">
        <f>V53/O53</f>
        <v>2099.6535061873897</v>
      </c>
      <c r="X53" s="205">
        <v>11424</v>
      </c>
      <c r="Y53" s="139" t="s">
        <v>132</v>
      </c>
    </row>
    <row r="54" spans="1:25" s="210" customFormat="1" ht="16.899999999999999" customHeight="1" x14ac:dyDescent="0.25">
      <c r="A54" s="41">
        <v>19</v>
      </c>
      <c r="B54" s="208" t="s">
        <v>70</v>
      </c>
      <c r="C54" s="208" t="s">
        <v>71</v>
      </c>
      <c r="D54" s="209" t="s">
        <v>80</v>
      </c>
      <c r="E54" s="42" t="s">
        <v>73</v>
      </c>
      <c r="F54" s="221">
        <v>66</v>
      </c>
      <c r="G54" s="209"/>
      <c r="H54" s="221"/>
      <c r="I54" s="221">
        <v>1960</v>
      </c>
      <c r="J54" s="221"/>
      <c r="K54" s="263" t="s">
        <v>74</v>
      </c>
      <c r="L54" s="223">
        <v>4</v>
      </c>
      <c r="M54" s="223">
        <v>4</v>
      </c>
      <c r="N54" s="260">
        <v>2766.6</v>
      </c>
      <c r="O54" s="260">
        <v>2550.1999999999998</v>
      </c>
      <c r="P54" s="261">
        <v>2550.1999999999998</v>
      </c>
      <c r="Q54" s="262">
        <v>153</v>
      </c>
      <c r="R54" s="206">
        <f t="shared" si="6"/>
        <v>7217560.7999999998</v>
      </c>
      <c r="S54" s="204">
        <v>0</v>
      </c>
      <c r="T54" s="204">
        <v>0</v>
      </c>
      <c r="U54" s="204">
        <v>0</v>
      </c>
      <c r="V54" s="204">
        <v>7217560.7999999998</v>
      </c>
      <c r="W54" s="204">
        <f>R54/O54</f>
        <v>2830.1940239981177</v>
      </c>
      <c r="X54" s="205">
        <v>11424</v>
      </c>
      <c r="Y54" s="139" t="s">
        <v>132</v>
      </c>
    </row>
    <row r="55" spans="1:25" s="244" customFormat="1" ht="15.75" x14ac:dyDescent="0.25">
      <c r="A55" s="41">
        <v>20</v>
      </c>
      <c r="B55" s="41" t="s">
        <v>70</v>
      </c>
      <c r="C55" s="41" t="s">
        <v>71</v>
      </c>
      <c r="D55" s="40" t="s">
        <v>72</v>
      </c>
      <c r="E55" s="42" t="s">
        <v>73</v>
      </c>
      <c r="F55" s="41">
        <v>79</v>
      </c>
      <c r="G55" s="208"/>
      <c r="H55" s="208"/>
      <c r="I55" s="252">
        <v>1966</v>
      </c>
      <c r="J55" s="252"/>
      <c r="K55" s="209" t="s">
        <v>74</v>
      </c>
      <c r="L55" s="232">
        <v>5</v>
      </c>
      <c r="M55" s="232">
        <v>3</v>
      </c>
      <c r="N55" s="232">
        <v>2758.2</v>
      </c>
      <c r="O55" s="232">
        <v>2545.5</v>
      </c>
      <c r="P55" s="232">
        <v>2314.9</v>
      </c>
      <c r="Q55" s="232">
        <v>113</v>
      </c>
      <c r="R55" s="206">
        <f t="shared" si="6"/>
        <v>7021800</v>
      </c>
      <c r="S55" s="204">
        <v>0</v>
      </c>
      <c r="T55" s="204">
        <v>0</v>
      </c>
      <c r="U55" s="204">
        <v>0</v>
      </c>
      <c r="V55" s="206">
        <v>7021800</v>
      </c>
      <c r="W55" s="207">
        <f>V55/O55</f>
        <v>2758.5150265173838</v>
      </c>
      <c r="X55" s="205">
        <v>11424</v>
      </c>
      <c r="Y55" s="139" t="s">
        <v>132</v>
      </c>
    </row>
    <row r="56" spans="1:25" s="244" customFormat="1" ht="15.75" x14ac:dyDescent="0.25">
      <c r="A56" s="41">
        <v>21</v>
      </c>
      <c r="B56" s="208" t="s">
        <v>70</v>
      </c>
      <c r="C56" s="208" t="s">
        <v>71</v>
      </c>
      <c r="D56" s="231" t="s">
        <v>140</v>
      </c>
      <c r="E56" s="232" t="s">
        <v>73</v>
      </c>
      <c r="F56" s="233">
        <v>114</v>
      </c>
      <c r="G56" s="258"/>
      <c r="H56" s="258"/>
      <c r="I56" s="233">
        <v>1967</v>
      </c>
      <c r="J56" s="233"/>
      <c r="K56" s="234" t="s">
        <v>74</v>
      </c>
      <c r="L56" s="235">
        <v>5</v>
      </c>
      <c r="M56" s="235">
        <v>6</v>
      </c>
      <c r="N56" s="207">
        <v>5794</v>
      </c>
      <c r="O56" s="207">
        <v>5314.6</v>
      </c>
      <c r="P56" s="207">
        <v>5079.5</v>
      </c>
      <c r="Q56" s="236">
        <v>236</v>
      </c>
      <c r="R56" s="206">
        <f t="shared" si="6"/>
        <v>6793577.5999999996</v>
      </c>
      <c r="S56" s="204">
        <v>0</v>
      </c>
      <c r="T56" s="204">
        <v>0</v>
      </c>
      <c r="U56" s="204">
        <v>0</v>
      </c>
      <c r="V56" s="226">
        <v>6793577.5999999996</v>
      </c>
      <c r="W56" s="207">
        <f>V56/O56</f>
        <v>1278.2857787980279</v>
      </c>
      <c r="X56" s="205">
        <v>11424</v>
      </c>
      <c r="Y56" s="139" t="s">
        <v>132</v>
      </c>
    </row>
    <row r="57" spans="1:25" s="244" customFormat="1" ht="15.75" x14ac:dyDescent="0.25">
      <c r="A57" s="41">
        <v>22</v>
      </c>
      <c r="B57" s="208" t="s">
        <v>70</v>
      </c>
      <c r="C57" s="208" t="s">
        <v>71</v>
      </c>
      <c r="D57" s="231" t="s">
        <v>140</v>
      </c>
      <c r="E57" s="232" t="s">
        <v>73</v>
      </c>
      <c r="F57" s="233">
        <v>116</v>
      </c>
      <c r="G57" s="258"/>
      <c r="H57" s="258"/>
      <c r="I57" s="233">
        <v>1967</v>
      </c>
      <c r="J57" s="233"/>
      <c r="K57" s="234" t="s">
        <v>74</v>
      </c>
      <c r="L57" s="235">
        <v>5</v>
      </c>
      <c r="M57" s="235">
        <v>4</v>
      </c>
      <c r="N57" s="207">
        <v>3709.4</v>
      </c>
      <c r="O57" s="207">
        <v>3451</v>
      </c>
      <c r="P57" s="207">
        <v>3340.6</v>
      </c>
      <c r="Q57" s="236">
        <v>152</v>
      </c>
      <c r="R57" s="206">
        <f t="shared" si="6"/>
        <v>4487424</v>
      </c>
      <c r="S57" s="204">
        <v>0</v>
      </c>
      <c r="T57" s="204">
        <v>0</v>
      </c>
      <c r="U57" s="204">
        <v>0</v>
      </c>
      <c r="V57" s="226">
        <v>4487424</v>
      </c>
      <c r="W57" s="207">
        <f>V57/O57</f>
        <v>1300.3257026948711</v>
      </c>
      <c r="X57" s="205">
        <v>11424</v>
      </c>
      <c r="Y57" s="139" t="s">
        <v>132</v>
      </c>
    </row>
    <row r="58" spans="1:25" s="244" customFormat="1" ht="15.75" x14ac:dyDescent="0.25">
      <c r="A58" s="41">
        <v>23</v>
      </c>
      <c r="B58" s="208" t="s">
        <v>70</v>
      </c>
      <c r="C58" s="208" t="s">
        <v>71</v>
      </c>
      <c r="D58" s="231" t="s">
        <v>140</v>
      </c>
      <c r="E58" s="232" t="s">
        <v>73</v>
      </c>
      <c r="F58" s="233">
        <v>122</v>
      </c>
      <c r="G58" s="258"/>
      <c r="H58" s="258"/>
      <c r="I58" s="233">
        <v>1968</v>
      </c>
      <c r="J58" s="233"/>
      <c r="K58" s="234" t="s">
        <v>74</v>
      </c>
      <c r="L58" s="235">
        <v>5</v>
      </c>
      <c r="M58" s="235">
        <v>6</v>
      </c>
      <c r="N58" s="207">
        <v>5846</v>
      </c>
      <c r="O58" s="207">
        <v>5303.6</v>
      </c>
      <c r="P58" s="207">
        <v>5168.5</v>
      </c>
      <c r="Q58" s="236">
        <v>220</v>
      </c>
      <c r="R58" s="206">
        <f t="shared" si="6"/>
        <v>6775575.2000000002</v>
      </c>
      <c r="S58" s="204">
        <v>0</v>
      </c>
      <c r="T58" s="204">
        <v>0</v>
      </c>
      <c r="U58" s="204">
        <v>0</v>
      </c>
      <c r="V58" s="226">
        <v>6775575.2000000002</v>
      </c>
      <c r="W58" s="207">
        <f t="shared" ref="W58" si="8">V58/O58</f>
        <v>1277.5426502752846</v>
      </c>
      <c r="X58" s="205">
        <v>11424</v>
      </c>
      <c r="Y58" s="139" t="s">
        <v>132</v>
      </c>
    </row>
    <row r="59" spans="1:25" s="244" customFormat="1" ht="15.75" x14ac:dyDescent="0.25">
      <c r="A59" s="41">
        <v>24</v>
      </c>
      <c r="B59" s="208" t="s">
        <v>70</v>
      </c>
      <c r="C59" s="208" t="s">
        <v>71</v>
      </c>
      <c r="D59" s="209" t="s">
        <v>72</v>
      </c>
      <c r="E59" s="232" t="s">
        <v>73</v>
      </c>
      <c r="F59" s="252">
        <v>228</v>
      </c>
      <c r="G59" s="252"/>
      <c r="H59" s="252"/>
      <c r="I59" s="252">
        <v>1988</v>
      </c>
      <c r="J59" s="252"/>
      <c r="K59" s="232" t="s">
        <v>75</v>
      </c>
      <c r="L59" s="232">
        <v>9</v>
      </c>
      <c r="M59" s="232">
        <v>4</v>
      </c>
      <c r="N59" s="232">
        <f>5545.5+869</f>
        <v>6414.5</v>
      </c>
      <c r="O59" s="232">
        <v>5545.5</v>
      </c>
      <c r="P59" s="232">
        <f>O59-167.6</f>
        <v>5377.9</v>
      </c>
      <c r="Q59" s="232">
        <v>266</v>
      </c>
      <c r="R59" s="206">
        <f t="shared" si="6"/>
        <v>4258470.4000000004</v>
      </c>
      <c r="S59" s="204">
        <v>0</v>
      </c>
      <c r="T59" s="204">
        <v>0</v>
      </c>
      <c r="U59" s="204">
        <v>0</v>
      </c>
      <c r="V59" s="264">
        <v>4258470.4000000004</v>
      </c>
      <c r="W59" s="204">
        <f>R59/O59</f>
        <v>767.9145974213327</v>
      </c>
      <c r="X59" s="205">
        <v>11424</v>
      </c>
      <c r="Y59" s="139" t="s">
        <v>132</v>
      </c>
    </row>
    <row r="60" spans="1:25" s="244" customFormat="1" ht="15.75" x14ac:dyDescent="0.25">
      <c r="A60" s="41">
        <v>25</v>
      </c>
      <c r="B60" s="208" t="s">
        <v>70</v>
      </c>
      <c r="C60" s="208" t="s">
        <v>71</v>
      </c>
      <c r="D60" s="231" t="s">
        <v>78</v>
      </c>
      <c r="E60" s="232" t="s">
        <v>119</v>
      </c>
      <c r="F60" s="233">
        <v>5</v>
      </c>
      <c r="G60" s="378"/>
      <c r="H60" s="379"/>
      <c r="I60" s="233">
        <v>1993</v>
      </c>
      <c r="J60" s="233"/>
      <c r="K60" s="234" t="s">
        <v>74</v>
      </c>
      <c r="L60" s="235">
        <v>4</v>
      </c>
      <c r="M60" s="235">
        <v>4</v>
      </c>
      <c r="N60" s="207">
        <v>3615.7</v>
      </c>
      <c r="O60" s="207">
        <v>3400.5</v>
      </c>
      <c r="P60" s="207">
        <v>3100.5</v>
      </c>
      <c r="Q60" s="236">
        <v>112</v>
      </c>
      <c r="R60" s="206">
        <f t="shared" si="6"/>
        <v>6894727.2000000002</v>
      </c>
      <c r="S60" s="204">
        <v>0</v>
      </c>
      <c r="T60" s="204">
        <v>0</v>
      </c>
      <c r="U60" s="204">
        <v>0</v>
      </c>
      <c r="V60" s="264">
        <v>6894727.2000000002</v>
      </c>
      <c r="W60" s="204">
        <f>R60/O60</f>
        <v>2027.5627701808558</v>
      </c>
      <c r="X60" s="205">
        <v>11424</v>
      </c>
      <c r="Y60" s="139" t="s">
        <v>132</v>
      </c>
    </row>
    <row r="61" spans="1:25" s="244" customFormat="1" ht="15.75" x14ac:dyDescent="0.25">
      <c r="A61" s="41">
        <v>26</v>
      </c>
      <c r="B61" s="41" t="s">
        <v>70</v>
      </c>
      <c r="C61" s="41" t="s">
        <v>71</v>
      </c>
      <c r="D61" s="40" t="s">
        <v>72</v>
      </c>
      <c r="E61" s="40" t="s">
        <v>137</v>
      </c>
      <c r="F61" s="208">
        <v>44</v>
      </c>
      <c r="G61" s="208"/>
      <c r="H61" s="208"/>
      <c r="I61" s="233">
        <v>1979</v>
      </c>
      <c r="J61" s="233"/>
      <c r="K61" s="234" t="s">
        <v>74</v>
      </c>
      <c r="L61" s="235">
        <v>12</v>
      </c>
      <c r="M61" s="235">
        <v>1</v>
      </c>
      <c r="N61" s="207">
        <v>7244.6</v>
      </c>
      <c r="O61" s="207">
        <v>5364.9</v>
      </c>
      <c r="P61" s="255">
        <v>5364.9</v>
      </c>
      <c r="Q61" s="236">
        <v>162</v>
      </c>
      <c r="R61" s="206">
        <f t="shared" si="6"/>
        <v>2453000</v>
      </c>
      <c r="S61" s="204">
        <v>0</v>
      </c>
      <c r="T61" s="204">
        <v>0</v>
      </c>
      <c r="U61" s="204">
        <v>0</v>
      </c>
      <c r="V61" s="206">
        <v>2453000</v>
      </c>
      <c r="W61" s="207">
        <f>V61/O61</f>
        <v>457.23126246528363</v>
      </c>
      <c r="X61" s="205">
        <v>11424</v>
      </c>
      <c r="Y61" s="139" t="s">
        <v>132</v>
      </c>
    </row>
    <row r="62" spans="1:25" s="244" customFormat="1" ht="15.75" x14ac:dyDescent="0.25">
      <c r="A62" s="41">
        <v>27</v>
      </c>
      <c r="B62" s="208" t="s">
        <v>70</v>
      </c>
      <c r="C62" s="208" t="s">
        <v>71</v>
      </c>
      <c r="D62" s="231" t="s">
        <v>72</v>
      </c>
      <c r="E62" s="232" t="s">
        <v>76</v>
      </c>
      <c r="F62" s="233">
        <v>110</v>
      </c>
      <c r="G62" s="265"/>
      <c r="H62" s="265"/>
      <c r="I62" s="233">
        <v>1981</v>
      </c>
      <c r="J62" s="233"/>
      <c r="K62" s="266" t="s">
        <v>139</v>
      </c>
      <c r="L62" s="235">
        <v>9</v>
      </c>
      <c r="M62" s="235">
        <v>3</v>
      </c>
      <c r="N62" s="207">
        <f>4466.3+919.2+19.2</f>
        <v>5404.7</v>
      </c>
      <c r="O62" s="207">
        <f>5566.3+19.2</f>
        <v>5585.5</v>
      </c>
      <c r="P62" s="207">
        <v>5566.3</v>
      </c>
      <c r="Q62" s="236">
        <v>276</v>
      </c>
      <c r="R62" s="142">
        <f t="shared" si="6"/>
        <v>341040</v>
      </c>
      <c r="S62" s="142">
        <v>0</v>
      </c>
      <c r="T62" s="142">
        <v>0</v>
      </c>
      <c r="U62" s="142">
        <v>0</v>
      </c>
      <c r="V62" s="206">
        <v>341040</v>
      </c>
      <c r="W62" s="142">
        <f t="shared" ref="W62:W63" si="9">R62/O62</f>
        <v>61.058096857935723</v>
      </c>
      <c r="X62" s="205">
        <v>11424</v>
      </c>
      <c r="Y62" s="139" t="s">
        <v>132</v>
      </c>
    </row>
    <row r="63" spans="1:25" s="244" customFormat="1" ht="15.75" x14ac:dyDescent="0.25">
      <c r="A63" s="41">
        <v>28</v>
      </c>
      <c r="B63" s="208" t="s">
        <v>70</v>
      </c>
      <c r="C63" s="208" t="s">
        <v>71</v>
      </c>
      <c r="D63" s="231" t="s">
        <v>72</v>
      </c>
      <c r="E63" s="232" t="s">
        <v>76</v>
      </c>
      <c r="F63" s="233">
        <v>124</v>
      </c>
      <c r="G63" s="265"/>
      <c r="H63" s="265"/>
      <c r="I63" s="233">
        <v>1982</v>
      </c>
      <c r="J63" s="233"/>
      <c r="K63" s="234" t="s">
        <v>74</v>
      </c>
      <c r="L63" s="235">
        <v>12</v>
      </c>
      <c r="M63" s="235">
        <v>1</v>
      </c>
      <c r="N63" s="207">
        <f>3972.9+744+20.1</f>
        <v>4737</v>
      </c>
      <c r="O63" s="207">
        <f>3972.9+20.1</f>
        <v>3993</v>
      </c>
      <c r="P63" s="207">
        <v>3972.9</v>
      </c>
      <c r="Q63" s="236">
        <v>184</v>
      </c>
      <c r="R63" s="142">
        <f t="shared" si="6"/>
        <v>161280</v>
      </c>
      <c r="S63" s="142">
        <v>0</v>
      </c>
      <c r="T63" s="142">
        <v>0</v>
      </c>
      <c r="U63" s="142">
        <v>0</v>
      </c>
      <c r="V63" s="206">
        <v>161280</v>
      </c>
      <c r="W63" s="142">
        <f t="shared" si="9"/>
        <v>40.39068369646882</v>
      </c>
      <c r="X63" s="249">
        <v>11424</v>
      </c>
      <c r="Y63" s="139" t="s">
        <v>132</v>
      </c>
    </row>
    <row r="64" spans="1:25" s="210" customFormat="1" ht="16.899999999999999" customHeight="1" x14ac:dyDescent="0.25">
      <c r="A64" s="41">
        <v>29</v>
      </c>
      <c r="B64" s="208" t="s">
        <v>70</v>
      </c>
      <c r="C64" s="208" t="s">
        <v>71</v>
      </c>
      <c r="D64" s="209" t="s">
        <v>80</v>
      </c>
      <c r="E64" s="42" t="s">
        <v>93</v>
      </c>
      <c r="F64" s="221">
        <v>8</v>
      </c>
      <c r="G64" s="209"/>
      <c r="H64" s="221"/>
      <c r="I64" s="221">
        <v>1967</v>
      </c>
      <c r="J64" s="221"/>
      <c r="K64" s="263" t="s">
        <v>74</v>
      </c>
      <c r="L64" s="223">
        <v>5</v>
      </c>
      <c r="M64" s="223">
        <v>6</v>
      </c>
      <c r="N64" s="260">
        <v>5809.2</v>
      </c>
      <c r="O64" s="260">
        <v>5352</v>
      </c>
      <c r="P64" s="261">
        <v>5352</v>
      </c>
      <c r="Q64" s="262">
        <v>253</v>
      </c>
      <c r="R64" s="206">
        <f t="shared" si="6"/>
        <v>6769574.4000000004</v>
      </c>
      <c r="S64" s="204">
        <v>0</v>
      </c>
      <c r="T64" s="204">
        <v>0</v>
      </c>
      <c r="U64" s="204">
        <v>0</v>
      </c>
      <c r="V64" s="204">
        <v>6769574.4000000004</v>
      </c>
      <c r="W64" s="204">
        <f>R64/O64</f>
        <v>1264.8681614349775</v>
      </c>
      <c r="X64" s="205">
        <v>11424</v>
      </c>
      <c r="Y64" s="139" t="s">
        <v>132</v>
      </c>
    </row>
    <row r="65" spans="1:25" s="244" customFormat="1" ht="15.75" x14ac:dyDescent="0.25">
      <c r="A65" s="41">
        <v>30</v>
      </c>
      <c r="B65" s="208" t="s">
        <v>70</v>
      </c>
      <c r="C65" s="208" t="s">
        <v>71</v>
      </c>
      <c r="D65" s="231" t="s">
        <v>78</v>
      </c>
      <c r="E65" s="232" t="s">
        <v>93</v>
      </c>
      <c r="F65" s="233">
        <v>12</v>
      </c>
      <c r="G65" s="258"/>
      <c r="H65" s="258"/>
      <c r="I65" s="233">
        <v>1965</v>
      </c>
      <c r="J65" s="233"/>
      <c r="K65" s="234" t="s">
        <v>74</v>
      </c>
      <c r="L65" s="235">
        <v>5</v>
      </c>
      <c r="M65" s="235">
        <v>4</v>
      </c>
      <c r="N65" s="207">
        <v>3721.9</v>
      </c>
      <c r="O65" s="207">
        <v>3442.3</v>
      </c>
      <c r="P65" s="207">
        <v>3392.9</v>
      </c>
      <c r="Q65" s="236">
        <v>120</v>
      </c>
      <c r="R65" s="206">
        <f t="shared" si="6"/>
        <v>4511888.8</v>
      </c>
      <c r="S65" s="204">
        <v>0</v>
      </c>
      <c r="T65" s="204">
        <v>0</v>
      </c>
      <c r="U65" s="204">
        <v>0</v>
      </c>
      <c r="V65" s="206">
        <v>4511888.8</v>
      </c>
      <c r="W65" s="207">
        <f t="shared" ref="W65:W70" si="10">V65/O65</f>
        <v>1310.7192284228568</v>
      </c>
      <c r="X65" s="205">
        <v>11424</v>
      </c>
      <c r="Y65" s="139" t="s">
        <v>132</v>
      </c>
    </row>
    <row r="66" spans="1:25" s="237" customFormat="1" ht="16.899999999999999" customHeight="1" x14ac:dyDescent="0.25">
      <c r="A66" s="41">
        <v>31</v>
      </c>
      <c r="B66" s="208" t="s">
        <v>70</v>
      </c>
      <c r="C66" s="208" t="s">
        <v>71</v>
      </c>
      <c r="D66" s="231" t="s">
        <v>136</v>
      </c>
      <c r="E66" s="232" t="s">
        <v>142</v>
      </c>
      <c r="F66" s="281" t="s">
        <v>116</v>
      </c>
      <c r="G66" s="267"/>
      <c r="H66" s="267"/>
      <c r="I66" s="233">
        <v>1959</v>
      </c>
      <c r="J66" s="233"/>
      <c r="K66" s="234" t="s">
        <v>135</v>
      </c>
      <c r="L66" s="235">
        <v>2</v>
      </c>
      <c r="M66" s="235">
        <v>1</v>
      </c>
      <c r="N66" s="207">
        <v>432.65999999999997</v>
      </c>
      <c r="O66" s="207">
        <v>390.4</v>
      </c>
      <c r="P66" s="207">
        <v>390.4</v>
      </c>
      <c r="Q66" s="236">
        <v>18</v>
      </c>
      <c r="R66" s="206">
        <f t="shared" si="6"/>
        <v>2207916</v>
      </c>
      <c r="S66" s="204">
        <v>0</v>
      </c>
      <c r="T66" s="204">
        <v>0</v>
      </c>
      <c r="U66" s="204">
        <v>0</v>
      </c>
      <c r="V66" s="207">
        <v>2207916</v>
      </c>
      <c r="W66" s="207">
        <f t="shared" si="10"/>
        <v>5655.5225409836066</v>
      </c>
      <c r="X66" s="205">
        <v>11424</v>
      </c>
      <c r="Y66" s="139" t="s">
        <v>132</v>
      </c>
    </row>
    <row r="67" spans="1:25" s="237" customFormat="1" ht="16.899999999999999" customHeight="1" x14ac:dyDescent="0.25">
      <c r="A67" s="41">
        <v>32</v>
      </c>
      <c r="B67" s="208" t="s">
        <v>70</v>
      </c>
      <c r="C67" s="208" t="s">
        <v>71</v>
      </c>
      <c r="D67" s="231" t="s">
        <v>136</v>
      </c>
      <c r="E67" s="232" t="s">
        <v>142</v>
      </c>
      <c r="F67" s="281" t="s">
        <v>117</v>
      </c>
      <c r="G67" s="267"/>
      <c r="H67" s="267"/>
      <c r="I67" s="233">
        <v>1962</v>
      </c>
      <c r="J67" s="233"/>
      <c r="K67" s="234" t="s">
        <v>135</v>
      </c>
      <c r="L67" s="235">
        <v>2</v>
      </c>
      <c r="M67" s="235">
        <v>1</v>
      </c>
      <c r="N67" s="207">
        <v>429.44</v>
      </c>
      <c r="O67" s="207">
        <v>386.9</v>
      </c>
      <c r="P67" s="207">
        <v>386.9</v>
      </c>
      <c r="Q67" s="236">
        <v>22</v>
      </c>
      <c r="R67" s="206">
        <f t="shared" si="6"/>
        <v>2207916</v>
      </c>
      <c r="S67" s="204">
        <v>0</v>
      </c>
      <c r="T67" s="204">
        <v>0</v>
      </c>
      <c r="U67" s="204">
        <v>0</v>
      </c>
      <c r="V67" s="207">
        <v>2207916</v>
      </c>
      <c r="W67" s="207">
        <f t="shared" si="10"/>
        <v>5706.6838976479712</v>
      </c>
      <c r="X67" s="205">
        <v>11424</v>
      </c>
      <c r="Y67" s="139" t="s">
        <v>132</v>
      </c>
    </row>
    <row r="68" spans="1:25" s="237" customFormat="1" ht="16.899999999999999" customHeight="1" x14ac:dyDescent="0.25">
      <c r="A68" s="41">
        <v>33</v>
      </c>
      <c r="B68" s="208" t="s">
        <v>70</v>
      </c>
      <c r="C68" s="208" t="s">
        <v>71</v>
      </c>
      <c r="D68" s="231" t="s">
        <v>136</v>
      </c>
      <c r="E68" s="232" t="s">
        <v>142</v>
      </c>
      <c r="F68" s="233">
        <v>32</v>
      </c>
      <c r="G68" s="267"/>
      <c r="H68" s="267"/>
      <c r="I68" s="233">
        <v>1959</v>
      </c>
      <c r="J68" s="233"/>
      <c r="K68" s="234" t="s">
        <v>135</v>
      </c>
      <c r="L68" s="235">
        <v>2</v>
      </c>
      <c r="M68" s="235">
        <v>1</v>
      </c>
      <c r="N68" s="207">
        <v>428.5</v>
      </c>
      <c r="O68" s="207">
        <v>385.5</v>
      </c>
      <c r="P68" s="207">
        <v>340.8</v>
      </c>
      <c r="Q68" s="236">
        <v>23</v>
      </c>
      <c r="R68" s="206">
        <f t="shared" si="6"/>
        <v>2247984</v>
      </c>
      <c r="S68" s="204">
        <v>0</v>
      </c>
      <c r="T68" s="204">
        <v>0</v>
      </c>
      <c r="U68" s="204">
        <v>0</v>
      </c>
      <c r="V68" s="207">
        <v>2247984</v>
      </c>
      <c r="W68" s="207">
        <f t="shared" si="10"/>
        <v>5831.3463035019458</v>
      </c>
      <c r="X68" s="205">
        <v>11424</v>
      </c>
      <c r="Y68" s="139" t="s">
        <v>132</v>
      </c>
    </row>
    <row r="69" spans="1:25" s="237" customFormat="1" ht="16.899999999999999" customHeight="1" x14ac:dyDescent="0.25">
      <c r="A69" s="41">
        <v>34</v>
      </c>
      <c r="B69" s="208" t="s">
        <v>70</v>
      </c>
      <c r="C69" s="208" t="s">
        <v>71</v>
      </c>
      <c r="D69" s="231" t="s">
        <v>78</v>
      </c>
      <c r="E69" s="232" t="s">
        <v>89</v>
      </c>
      <c r="F69" s="233">
        <v>5</v>
      </c>
      <c r="G69" s="231"/>
      <c r="H69" s="233"/>
      <c r="I69" s="233">
        <v>1961</v>
      </c>
      <c r="J69" s="233"/>
      <c r="K69" s="234" t="s">
        <v>74</v>
      </c>
      <c r="L69" s="235">
        <v>4</v>
      </c>
      <c r="M69" s="235">
        <v>4</v>
      </c>
      <c r="N69" s="207">
        <v>2766.8</v>
      </c>
      <c r="O69" s="207">
        <v>2544.5</v>
      </c>
      <c r="P69" s="207">
        <v>2459.8000000000002</v>
      </c>
      <c r="Q69" s="236">
        <v>123</v>
      </c>
      <c r="R69" s="206">
        <f t="shared" si="6"/>
        <v>6594217.2000000002</v>
      </c>
      <c r="S69" s="204">
        <v>0</v>
      </c>
      <c r="T69" s="204">
        <v>0</v>
      </c>
      <c r="U69" s="204">
        <v>0</v>
      </c>
      <c r="V69" s="207">
        <v>6594217.2000000002</v>
      </c>
      <c r="W69" s="207">
        <f t="shared" si="10"/>
        <v>2591.557162507369</v>
      </c>
      <c r="X69" s="205">
        <v>11424</v>
      </c>
      <c r="Y69" s="139" t="s">
        <v>132</v>
      </c>
    </row>
    <row r="70" spans="1:25" s="237" customFormat="1" ht="16.899999999999999" customHeight="1" x14ac:dyDescent="0.25">
      <c r="A70" s="41">
        <v>35</v>
      </c>
      <c r="B70" s="208" t="s">
        <v>70</v>
      </c>
      <c r="C70" s="208" t="s">
        <v>71</v>
      </c>
      <c r="D70" s="231" t="s">
        <v>78</v>
      </c>
      <c r="E70" s="232" t="s">
        <v>89</v>
      </c>
      <c r="F70" s="233">
        <v>9</v>
      </c>
      <c r="G70" s="231"/>
      <c r="H70" s="233"/>
      <c r="I70" s="233">
        <v>1961</v>
      </c>
      <c r="J70" s="233"/>
      <c r="K70" s="234" t="s">
        <v>74</v>
      </c>
      <c r="L70" s="235">
        <v>4</v>
      </c>
      <c r="M70" s="235">
        <v>4</v>
      </c>
      <c r="N70" s="207">
        <v>2756.1000000000004</v>
      </c>
      <c r="O70" s="207">
        <v>2539.3000000000002</v>
      </c>
      <c r="P70" s="207">
        <v>2367.6000000000004</v>
      </c>
      <c r="Q70" s="236">
        <v>122</v>
      </c>
      <c r="R70" s="206">
        <f t="shared" si="6"/>
        <v>6609672</v>
      </c>
      <c r="S70" s="204">
        <v>0</v>
      </c>
      <c r="T70" s="204">
        <v>0</v>
      </c>
      <c r="U70" s="204">
        <v>0</v>
      </c>
      <c r="V70" s="207">
        <v>6609672</v>
      </c>
      <c r="W70" s="207">
        <f t="shared" si="10"/>
        <v>2602.9504194069232</v>
      </c>
      <c r="X70" s="205">
        <v>11424</v>
      </c>
      <c r="Y70" s="139" t="s">
        <v>132</v>
      </c>
    </row>
    <row r="71" spans="1:25" s="210" customFormat="1" ht="16.899999999999999" customHeight="1" x14ac:dyDescent="0.25">
      <c r="A71" s="41">
        <v>36</v>
      </c>
      <c r="B71" s="208" t="s">
        <v>70</v>
      </c>
      <c r="C71" s="208" t="s">
        <v>71</v>
      </c>
      <c r="D71" s="209" t="s">
        <v>80</v>
      </c>
      <c r="E71" s="42" t="s">
        <v>89</v>
      </c>
      <c r="F71" s="221">
        <v>18</v>
      </c>
      <c r="G71" s="209"/>
      <c r="H71" s="221"/>
      <c r="I71" s="221">
        <v>1964</v>
      </c>
      <c r="J71" s="221"/>
      <c r="K71" s="263" t="s">
        <v>74</v>
      </c>
      <c r="L71" s="223">
        <v>4</v>
      </c>
      <c r="M71" s="223">
        <v>4</v>
      </c>
      <c r="N71" s="260">
        <v>2965.1</v>
      </c>
      <c r="O71" s="260">
        <v>2755.7</v>
      </c>
      <c r="P71" s="261">
        <v>2755.7</v>
      </c>
      <c r="Q71" s="262">
        <v>161</v>
      </c>
      <c r="R71" s="206">
        <f t="shared" si="6"/>
        <v>6626844</v>
      </c>
      <c r="S71" s="204">
        <v>0</v>
      </c>
      <c r="T71" s="204">
        <v>0</v>
      </c>
      <c r="U71" s="204">
        <v>0</v>
      </c>
      <c r="V71" s="204">
        <v>6626844</v>
      </c>
      <c r="W71" s="204">
        <f t="shared" ref="W71" si="11">R71/O71</f>
        <v>2404.7770076568568</v>
      </c>
      <c r="X71" s="205">
        <v>11424</v>
      </c>
      <c r="Y71" s="139" t="s">
        <v>132</v>
      </c>
    </row>
    <row r="72" spans="1:25" s="237" customFormat="1" ht="16.899999999999999" customHeight="1" x14ac:dyDescent="0.25">
      <c r="A72" s="41">
        <v>37</v>
      </c>
      <c r="B72" s="208" t="s">
        <v>70</v>
      </c>
      <c r="C72" s="208" t="s">
        <v>71</v>
      </c>
      <c r="D72" s="231" t="s">
        <v>78</v>
      </c>
      <c r="E72" s="232" t="s">
        <v>89</v>
      </c>
      <c r="F72" s="233">
        <v>33</v>
      </c>
      <c r="G72" s="231"/>
      <c r="H72" s="233"/>
      <c r="I72" s="233">
        <v>1964</v>
      </c>
      <c r="J72" s="233"/>
      <c r="K72" s="234" t="s">
        <v>74</v>
      </c>
      <c r="L72" s="235">
        <v>4</v>
      </c>
      <c r="M72" s="235">
        <v>3</v>
      </c>
      <c r="N72" s="207">
        <v>2193.9</v>
      </c>
      <c r="O72" s="207">
        <v>2034.3</v>
      </c>
      <c r="P72" s="207">
        <v>1982.8999999999999</v>
      </c>
      <c r="Q72" s="236">
        <v>81</v>
      </c>
      <c r="R72" s="206">
        <f t="shared" si="6"/>
        <v>5214733.2</v>
      </c>
      <c r="S72" s="204">
        <v>0</v>
      </c>
      <c r="T72" s="204">
        <v>0</v>
      </c>
      <c r="U72" s="204">
        <v>0</v>
      </c>
      <c r="V72" s="207">
        <v>5214733.2</v>
      </c>
      <c r="W72" s="207">
        <f>V72/O72</f>
        <v>2563.4042176670109</v>
      </c>
      <c r="X72" s="205">
        <v>11424</v>
      </c>
      <c r="Y72" s="139" t="s">
        <v>132</v>
      </c>
    </row>
    <row r="73" spans="1:25" s="244" customFormat="1" ht="15.75" x14ac:dyDescent="0.25">
      <c r="A73" s="41">
        <v>38</v>
      </c>
      <c r="B73" s="208" t="s">
        <v>70</v>
      </c>
      <c r="C73" s="208" t="s">
        <v>71</v>
      </c>
      <c r="D73" s="231" t="s">
        <v>78</v>
      </c>
      <c r="E73" s="40" t="s">
        <v>90</v>
      </c>
      <c r="F73" s="254" t="s">
        <v>110</v>
      </c>
      <c r="G73" s="208"/>
      <c r="H73" s="208"/>
      <c r="I73" s="233">
        <v>1957</v>
      </c>
      <c r="J73" s="233"/>
      <c r="K73" s="234" t="s">
        <v>74</v>
      </c>
      <c r="L73" s="235">
        <v>4</v>
      </c>
      <c r="M73" s="235">
        <v>4</v>
      </c>
      <c r="N73" s="207">
        <v>3876.9</v>
      </c>
      <c r="O73" s="207">
        <v>3876.9</v>
      </c>
      <c r="P73" s="255">
        <v>3510.6</v>
      </c>
      <c r="Q73" s="236">
        <v>119</v>
      </c>
      <c r="R73" s="206">
        <f t="shared" si="6"/>
        <v>421800</v>
      </c>
      <c r="S73" s="204">
        <v>0</v>
      </c>
      <c r="T73" s="204">
        <v>0</v>
      </c>
      <c r="U73" s="204">
        <v>0</v>
      </c>
      <c r="V73" s="257">
        <v>421800</v>
      </c>
      <c r="W73" s="207">
        <f>V73/O73</f>
        <v>108.79826665634914</v>
      </c>
      <c r="X73" s="205">
        <v>11424</v>
      </c>
      <c r="Y73" s="139" t="s">
        <v>132</v>
      </c>
    </row>
    <row r="74" spans="1:25" s="237" customFormat="1" ht="16.899999999999999" customHeight="1" x14ac:dyDescent="0.25">
      <c r="A74" s="41">
        <v>39</v>
      </c>
      <c r="B74" s="208" t="s">
        <v>70</v>
      </c>
      <c r="C74" s="208" t="s">
        <v>71</v>
      </c>
      <c r="D74" s="231" t="s">
        <v>78</v>
      </c>
      <c r="E74" s="232" t="s">
        <v>120</v>
      </c>
      <c r="F74" s="233">
        <v>1</v>
      </c>
      <c r="G74" s="231"/>
      <c r="H74" s="233"/>
      <c r="I74" s="233">
        <v>1959</v>
      </c>
      <c r="J74" s="233"/>
      <c r="K74" s="234" t="s">
        <v>135</v>
      </c>
      <c r="L74" s="235">
        <v>2</v>
      </c>
      <c r="M74" s="235">
        <v>1</v>
      </c>
      <c r="N74" s="207">
        <v>434.13</v>
      </c>
      <c r="O74" s="207">
        <v>391.6</v>
      </c>
      <c r="P74" s="207">
        <v>286.3</v>
      </c>
      <c r="Q74" s="236">
        <v>17</v>
      </c>
      <c r="R74" s="206">
        <f t="shared" si="6"/>
        <v>2225088</v>
      </c>
      <c r="S74" s="204">
        <v>0</v>
      </c>
      <c r="T74" s="204">
        <v>0</v>
      </c>
      <c r="U74" s="204">
        <v>0</v>
      </c>
      <c r="V74" s="207">
        <v>2225088</v>
      </c>
      <c r="W74" s="207">
        <f t="shared" ref="W74:W80" si="12">V74/O74</f>
        <v>5682.0429009193049</v>
      </c>
      <c r="X74" s="205">
        <v>11424</v>
      </c>
      <c r="Y74" s="139" t="s">
        <v>132</v>
      </c>
    </row>
    <row r="75" spans="1:25" s="237" customFormat="1" ht="16.899999999999999" customHeight="1" x14ac:dyDescent="0.25">
      <c r="A75" s="41">
        <v>40</v>
      </c>
      <c r="B75" s="208" t="s">
        <v>70</v>
      </c>
      <c r="C75" s="208" t="s">
        <v>71</v>
      </c>
      <c r="D75" s="231" t="s">
        <v>78</v>
      </c>
      <c r="E75" s="232" t="s">
        <v>120</v>
      </c>
      <c r="F75" s="233">
        <v>3</v>
      </c>
      <c r="G75" s="231"/>
      <c r="H75" s="233"/>
      <c r="I75" s="233">
        <v>1959</v>
      </c>
      <c r="J75" s="233"/>
      <c r="K75" s="234" t="s">
        <v>135</v>
      </c>
      <c r="L75" s="235">
        <v>2</v>
      </c>
      <c r="M75" s="235">
        <v>1</v>
      </c>
      <c r="N75" s="207">
        <v>433.63</v>
      </c>
      <c r="O75" s="207">
        <v>390.1</v>
      </c>
      <c r="P75" s="207">
        <v>299.90000000000003</v>
      </c>
      <c r="Q75" s="236">
        <v>22</v>
      </c>
      <c r="R75" s="206">
        <f t="shared" si="6"/>
        <v>2213640</v>
      </c>
      <c r="S75" s="204">
        <v>0</v>
      </c>
      <c r="T75" s="204">
        <v>0</v>
      </c>
      <c r="U75" s="204">
        <v>0</v>
      </c>
      <c r="V75" s="207">
        <v>2213640</v>
      </c>
      <c r="W75" s="207">
        <f t="shared" si="12"/>
        <v>5674.5449884644959</v>
      </c>
      <c r="X75" s="205">
        <v>11424</v>
      </c>
      <c r="Y75" s="139" t="s">
        <v>132</v>
      </c>
    </row>
    <row r="76" spans="1:25" s="237" customFormat="1" ht="16.899999999999999" customHeight="1" x14ac:dyDescent="0.25">
      <c r="A76" s="41">
        <v>41</v>
      </c>
      <c r="B76" s="208" t="s">
        <v>70</v>
      </c>
      <c r="C76" s="208" t="s">
        <v>71</v>
      </c>
      <c r="D76" s="231" t="s">
        <v>78</v>
      </c>
      <c r="E76" s="232" t="s">
        <v>120</v>
      </c>
      <c r="F76" s="233">
        <v>5</v>
      </c>
      <c r="G76" s="231"/>
      <c r="H76" s="233"/>
      <c r="I76" s="233">
        <v>1959</v>
      </c>
      <c r="J76" s="233"/>
      <c r="K76" s="234" t="s">
        <v>135</v>
      </c>
      <c r="L76" s="235">
        <v>2</v>
      </c>
      <c r="M76" s="235">
        <v>1</v>
      </c>
      <c r="N76" s="207">
        <v>432.79999999999995</v>
      </c>
      <c r="O76" s="207">
        <v>390.4</v>
      </c>
      <c r="P76" s="207">
        <v>284.5</v>
      </c>
      <c r="Q76" s="236">
        <v>30</v>
      </c>
      <c r="R76" s="206">
        <f t="shared" si="6"/>
        <v>2236536</v>
      </c>
      <c r="S76" s="204">
        <v>0</v>
      </c>
      <c r="T76" s="204">
        <v>0</v>
      </c>
      <c r="U76" s="204">
        <v>0</v>
      </c>
      <c r="V76" s="207">
        <v>2236536</v>
      </c>
      <c r="W76" s="207">
        <f t="shared" si="12"/>
        <v>5728.8319672131147</v>
      </c>
      <c r="X76" s="205">
        <v>11424</v>
      </c>
      <c r="Y76" s="139" t="s">
        <v>132</v>
      </c>
    </row>
    <row r="77" spans="1:25" s="237" customFormat="1" ht="16.899999999999999" customHeight="1" x14ac:dyDescent="0.25">
      <c r="A77" s="41">
        <v>42</v>
      </c>
      <c r="B77" s="208" t="s">
        <v>70</v>
      </c>
      <c r="C77" s="208" t="s">
        <v>71</v>
      </c>
      <c r="D77" s="231" t="s">
        <v>78</v>
      </c>
      <c r="E77" s="232" t="s">
        <v>120</v>
      </c>
      <c r="F77" s="233">
        <v>9</v>
      </c>
      <c r="G77" s="231"/>
      <c r="H77" s="233"/>
      <c r="I77" s="233">
        <v>1960</v>
      </c>
      <c r="J77" s="233"/>
      <c r="K77" s="234" t="s">
        <v>135</v>
      </c>
      <c r="L77" s="235">
        <v>2</v>
      </c>
      <c r="M77" s="235">
        <v>1</v>
      </c>
      <c r="N77" s="207">
        <v>432.4</v>
      </c>
      <c r="O77" s="207">
        <v>389.9</v>
      </c>
      <c r="P77" s="207">
        <v>209.29999999999998</v>
      </c>
      <c r="Q77" s="236">
        <v>19</v>
      </c>
      <c r="R77" s="206">
        <f t="shared" si="6"/>
        <v>2219364</v>
      </c>
      <c r="S77" s="204">
        <v>0</v>
      </c>
      <c r="T77" s="204">
        <v>0</v>
      </c>
      <c r="U77" s="204">
        <v>0</v>
      </c>
      <c r="V77" s="207">
        <v>2219364</v>
      </c>
      <c r="W77" s="207">
        <f t="shared" si="12"/>
        <v>5692.1364452423704</v>
      </c>
      <c r="X77" s="205">
        <v>11424</v>
      </c>
      <c r="Y77" s="139" t="s">
        <v>132</v>
      </c>
    </row>
    <row r="78" spans="1:25" s="237" customFormat="1" ht="16.899999999999999" customHeight="1" x14ac:dyDescent="0.25">
      <c r="A78" s="41">
        <v>43</v>
      </c>
      <c r="B78" s="208" t="s">
        <v>70</v>
      </c>
      <c r="C78" s="208" t="s">
        <v>71</v>
      </c>
      <c r="D78" s="231" t="s">
        <v>78</v>
      </c>
      <c r="E78" s="232" t="s">
        <v>120</v>
      </c>
      <c r="F78" s="233">
        <v>11</v>
      </c>
      <c r="G78" s="231"/>
      <c r="H78" s="233"/>
      <c r="I78" s="233">
        <v>1960</v>
      </c>
      <c r="J78" s="233"/>
      <c r="K78" s="234" t="s">
        <v>135</v>
      </c>
      <c r="L78" s="235">
        <v>2</v>
      </c>
      <c r="M78" s="235">
        <v>1</v>
      </c>
      <c r="N78" s="207">
        <v>428.26</v>
      </c>
      <c r="O78" s="207">
        <v>386.1</v>
      </c>
      <c r="P78" s="207">
        <v>282.40000000000003</v>
      </c>
      <c r="Q78" s="236">
        <v>16</v>
      </c>
      <c r="R78" s="206">
        <f t="shared" si="6"/>
        <v>2213640</v>
      </c>
      <c r="S78" s="204">
        <v>0</v>
      </c>
      <c r="T78" s="204">
        <v>0</v>
      </c>
      <c r="U78" s="204">
        <v>0</v>
      </c>
      <c r="V78" s="207">
        <v>2213640</v>
      </c>
      <c r="W78" s="207">
        <f t="shared" si="12"/>
        <v>5733.333333333333</v>
      </c>
      <c r="X78" s="205">
        <v>11424</v>
      </c>
      <c r="Y78" s="139" t="s">
        <v>132</v>
      </c>
    </row>
    <row r="79" spans="1:25" s="237" customFormat="1" ht="16.899999999999999" customHeight="1" x14ac:dyDescent="0.25">
      <c r="A79" s="41">
        <v>44</v>
      </c>
      <c r="B79" s="208" t="s">
        <v>70</v>
      </c>
      <c r="C79" s="208" t="s">
        <v>71</v>
      </c>
      <c r="D79" s="231" t="s">
        <v>80</v>
      </c>
      <c r="E79" s="232" t="s">
        <v>121</v>
      </c>
      <c r="F79" s="233">
        <v>4</v>
      </c>
      <c r="G79" s="231"/>
      <c r="H79" s="233"/>
      <c r="I79" s="233">
        <v>1959</v>
      </c>
      <c r="J79" s="233"/>
      <c r="K79" s="234" t="s">
        <v>135</v>
      </c>
      <c r="L79" s="235">
        <v>2</v>
      </c>
      <c r="M79" s="235">
        <v>1</v>
      </c>
      <c r="N79" s="207">
        <v>436.1</v>
      </c>
      <c r="O79" s="207">
        <v>393.1</v>
      </c>
      <c r="P79" s="207">
        <v>393.1</v>
      </c>
      <c r="Q79" s="236">
        <v>22</v>
      </c>
      <c r="R79" s="206">
        <f t="shared" si="6"/>
        <v>2207916</v>
      </c>
      <c r="S79" s="204">
        <v>0</v>
      </c>
      <c r="T79" s="204">
        <v>0</v>
      </c>
      <c r="U79" s="204">
        <v>0</v>
      </c>
      <c r="V79" s="207">
        <v>2207916</v>
      </c>
      <c r="W79" s="207">
        <f t="shared" si="12"/>
        <v>5616.6776901551766</v>
      </c>
      <c r="X79" s="205">
        <v>11424</v>
      </c>
      <c r="Y79" s="139" t="s">
        <v>132</v>
      </c>
    </row>
    <row r="80" spans="1:25" s="237" customFormat="1" ht="16.899999999999999" customHeight="1" x14ac:dyDescent="0.25">
      <c r="A80" s="41">
        <v>45</v>
      </c>
      <c r="B80" s="208" t="s">
        <v>70</v>
      </c>
      <c r="C80" s="208" t="s">
        <v>71</v>
      </c>
      <c r="D80" s="231" t="s">
        <v>80</v>
      </c>
      <c r="E80" s="232" t="s">
        <v>121</v>
      </c>
      <c r="F80" s="233">
        <v>6</v>
      </c>
      <c r="G80" s="231"/>
      <c r="H80" s="233"/>
      <c r="I80" s="233">
        <v>1959</v>
      </c>
      <c r="J80" s="233"/>
      <c r="K80" s="234" t="s">
        <v>135</v>
      </c>
      <c r="L80" s="235">
        <v>2</v>
      </c>
      <c r="M80" s="235">
        <v>1</v>
      </c>
      <c r="N80" s="207">
        <v>432.5</v>
      </c>
      <c r="O80" s="207">
        <v>390.9</v>
      </c>
      <c r="P80" s="207">
        <v>346</v>
      </c>
      <c r="Q80" s="236">
        <v>18</v>
      </c>
      <c r="R80" s="206">
        <f t="shared" si="6"/>
        <v>2204481.6</v>
      </c>
      <c r="S80" s="204">
        <v>0</v>
      </c>
      <c r="T80" s="204">
        <v>0</v>
      </c>
      <c r="U80" s="204">
        <v>0</v>
      </c>
      <c r="V80" s="207">
        <v>2204481.6</v>
      </c>
      <c r="W80" s="207">
        <f t="shared" si="12"/>
        <v>5639.50268610898</v>
      </c>
      <c r="X80" s="205">
        <v>11424</v>
      </c>
      <c r="Y80" s="139" t="s">
        <v>132</v>
      </c>
    </row>
    <row r="81" spans="1:25" s="210" customFormat="1" ht="15.75" x14ac:dyDescent="0.25">
      <c r="A81" s="41">
        <v>46</v>
      </c>
      <c r="B81" s="41" t="s">
        <v>70</v>
      </c>
      <c r="C81" s="41" t="s">
        <v>71</v>
      </c>
      <c r="D81" s="42" t="s">
        <v>80</v>
      </c>
      <c r="E81" s="42" t="s">
        <v>133</v>
      </c>
      <c r="F81" s="41">
        <v>3</v>
      </c>
      <c r="G81" s="41"/>
      <c r="H81" s="41"/>
      <c r="I81" s="41">
        <v>1988</v>
      </c>
      <c r="J81" s="41"/>
      <c r="K81" s="42" t="s">
        <v>77</v>
      </c>
      <c r="L81" s="42">
        <v>9</v>
      </c>
      <c r="M81" s="42">
        <v>3</v>
      </c>
      <c r="N81" s="42">
        <v>7837.9</v>
      </c>
      <c r="O81" s="42">
        <v>6184.2</v>
      </c>
      <c r="P81" s="42">
        <v>6174.4</v>
      </c>
      <c r="Q81" s="42">
        <v>480</v>
      </c>
      <c r="R81" s="142">
        <f t="shared" si="6"/>
        <v>6153000</v>
      </c>
      <c r="S81" s="142">
        <v>0</v>
      </c>
      <c r="T81" s="142">
        <v>0</v>
      </c>
      <c r="U81" s="142">
        <v>0</v>
      </c>
      <c r="V81" s="142">
        <v>6153000</v>
      </c>
      <c r="W81" s="142">
        <f>R81/O81</f>
        <v>994.95488502959154</v>
      </c>
      <c r="X81" s="249">
        <v>11424</v>
      </c>
      <c r="Y81" s="139" t="s">
        <v>132</v>
      </c>
    </row>
    <row r="82" spans="1:25" s="210" customFormat="1" ht="15.75" x14ac:dyDescent="0.25">
      <c r="A82" s="41">
        <v>47</v>
      </c>
      <c r="B82" s="41" t="s">
        <v>70</v>
      </c>
      <c r="C82" s="208" t="s">
        <v>71</v>
      </c>
      <c r="D82" s="209" t="s">
        <v>80</v>
      </c>
      <c r="E82" s="42" t="s">
        <v>133</v>
      </c>
      <c r="F82" s="41">
        <v>18</v>
      </c>
      <c r="G82" s="41"/>
      <c r="H82" s="41"/>
      <c r="I82" s="221">
        <v>1982</v>
      </c>
      <c r="J82" s="221"/>
      <c r="K82" s="263" t="s">
        <v>74</v>
      </c>
      <c r="L82" s="268">
        <v>12</v>
      </c>
      <c r="M82" s="268">
        <v>1</v>
      </c>
      <c r="N82" s="224">
        <v>3997.8</v>
      </c>
      <c r="O82" s="224">
        <v>3997.8</v>
      </c>
      <c r="P82" s="224">
        <v>3515.6</v>
      </c>
      <c r="Q82" s="262">
        <v>193</v>
      </c>
      <c r="R82" s="206">
        <f t="shared" si="6"/>
        <v>3153400</v>
      </c>
      <c r="S82" s="204">
        <v>0</v>
      </c>
      <c r="T82" s="204">
        <v>0</v>
      </c>
      <c r="U82" s="204">
        <v>0</v>
      </c>
      <c r="V82" s="142">
        <v>3153400</v>
      </c>
      <c r="W82" s="204">
        <f>R82/O82</f>
        <v>788.78383110710888</v>
      </c>
      <c r="X82" s="205">
        <v>11424</v>
      </c>
      <c r="Y82" s="139" t="s">
        <v>132</v>
      </c>
    </row>
    <row r="83" spans="1:25" s="280" customFormat="1" ht="22.15" customHeight="1" thickBot="1" x14ac:dyDescent="0.3">
      <c r="A83" s="273"/>
      <c r="B83" s="499" t="s">
        <v>141</v>
      </c>
      <c r="C83" s="500"/>
      <c r="D83" s="500"/>
      <c r="E83" s="501"/>
      <c r="F83" s="274"/>
      <c r="G83" s="274"/>
      <c r="H83" s="274"/>
      <c r="I83" s="274" t="s">
        <v>69</v>
      </c>
      <c r="J83" s="274"/>
      <c r="K83" s="274" t="s">
        <v>69</v>
      </c>
      <c r="L83" s="275" t="s">
        <v>69</v>
      </c>
      <c r="M83" s="275" t="s">
        <v>69</v>
      </c>
      <c r="N83" s="276">
        <f t="shared" ref="N83:V83" si="13">SUM(N36:N82)</f>
        <v>167206.41999999995</v>
      </c>
      <c r="O83" s="276">
        <f t="shared" si="13"/>
        <v>146441.50000000003</v>
      </c>
      <c r="P83" s="276">
        <f t="shared" si="13"/>
        <v>141565.09999999998</v>
      </c>
      <c r="Q83" s="277">
        <f t="shared" si="13"/>
        <v>6650</v>
      </c>
      <c r="R83" s="402">
        <f t="shared" si="13"/>
        <v>196725239.39999998</v>
      </c>
      <c r="S83" s="402">
        <f t="shared" si="13"/>
        <v>0</v>
      </c>
      <c r="T83" s="402">
        <f t="shared" si="13"/>
        <v>0</v>
      </c>
      <c r="U83" s="402">
        <f t="shared" si="13"/>
        <v>0</v>
      </c>
      <c r="V83" s="402">
        <f t="shared" si="13"/>
        <v>196725239.39999998</v>
      </c>
      <c r="W83" s="402">
        <f>R83/O83</f>
        <v>1343.3708299901321</v>
      </c>
      <c r="X83" s="278">
        <v>11424</v>
      </c>
      <c r="Y83" s="279" t="s">
        <v>69</v>
      </c>
    </row>
    <row r="84" spans="1:25" s="401" customFormat="1" ht="14.45" customHeight="1" x14ac:dyDescent="0.25">
      <c r="A84" s="394"/>
      <c r="B84" s="185"/>
      <c r="C84" s="185"/>
      <c r="D84" s="185"/>
      <c r="E84" s="185"/>
      <c r="F84" s="395"/>
      <c r="G84" s="395"/>
      <c r="H84" s="395"/>
      <c r="I84" s="395"/>
      <c r="J84" s="395"/>
      <c r="K84" s="395"/>
      <c r="L84" s="396"/>
      <c r="M84" s="396"/>
      <c r="N84" s="397"/>
      <c r="O84" s="397"/>
      <c r="P84" s="397"/>
      <c r="Q84" s="398"/>
      <c r="R84" s="397"/>
      <c r="S84" s="397"/>
      <c r="T84" s="397"/>
      <c r="U84" s="397"/>
      <c r="V84" s="397"/>
      <c r="W84" s="397"/>
      <c r="X84" s="399"/>
      <c r="Y84" s="400"/>
    </row>
    <row r="85" spans="1:25" s="401" customFormat="1" ht="27" customHeight="1" x14ac:dyDescent="0.25">
      <c r="A85" s="492" t="s">
        <v>143</v>
      </c>
      <c r="B85" s="493"/>
      <c r="C85" s="493"/>
      <c r="D85" s="493"/>
      <c r="E85" s="493"/>
      <c r="F85" s="493"/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493"/>
      <c r="R85" s="493"/>
      <c r="S85" s="493"/>
      <c r="T85" s="493"/>
      <c r="U85" s="493"/>
      <c r="V85" s="493"/>
      <c r="W85" s="493"/>
      <c r="X85" s="493"/>
      <c r="Y85" s="494"/>
    </row>
    <row r="86" spans="1:25" s="451" customFormat="1" ht="22.15" customHeight="1" x14ac:dyDescent="0.25">
      <c r="A86" s="442">
        <v>1</v>
      </c>
      <c r="B86" s="40" t="s">
        <v>70</v>
      </c>
      <c r="C86" s="40" t="s">
        <v>71</v>
      </c>
      <c r="D86" s="447" t="s">
        <v>78</v>
      </c>
      <c r="E86" s="447" t="s">
        <v>149</v>
      </c>
      <c r="F86" s="442">
        <v>25</v>
      </c>
      <c r="G86" s="442"/>
      <c r="H86" s="442"/>
      <c r="I86" s="252">
        <v>1983</v>
      </c>
      <c r="J86" s="252">
        <v>2017</v>
      </c>
      <c r="K86" s="252" t="s">
        <v>75</v>
      </c>
      <c r="L86" s="252">
        <v>9</v>
      </c>
      <c r="M86" s="252">
        <v>3</v>
      </c>
      <c r="N86" s="418">
        <f>6273.3+961.2</f>
        <v>7234.5</v>
      </c>
      <c r="O86" s="418">
        <v>6273.3</v>
      </c>
      <c r="P86" s="418">
        <v>6018.1</v>
      </c>
      <c r="Q86" s="252">
        <v>346</v>
      </c>
      <c r="R86" s="448">
        <f>S86+T86+U86+V86</f>
        <v>6129654</v>
      </c>
      <c r="S86" s="449">
        <v>0</v>
      </c>
      <c r="T86" s="449">
        <v>0</v>
      </c>
      <c r="U86" s="449">
        <v>0</v>
      </c>
      <c r="V86" s="448">
        <v>6129654</v>
      </c>
      <c r="W86" s="448">
        <f>R86/O86</f>
        <v>977.10200373009422</v>
      </c>
      <c r="X86" s="205">
        <v>11424</v>
      </c>
      <c r="Y86" s="450" t="s">
        <v>161</v>
      </c>
    </row>
    <row r="87" spans="1:25" s="451" customFormat="1" ht="22.15" customHeight="1" x14ac:dyDescent="0.25">
      <c r="A87" s="442">
        <v>2</v>
      </c>
      <c r="B87" s="40" t="s">
        <v>70</v>
      </c>
      <c r="C87" s="40" t="s">
        <v>71</v>
      </c>
      <c r="D87" s="447" t="s">
        <v>78</v>
      </c>
      <c r="E87" s="447" t="s">
        <v>158</v>
      </c>
      <c r="F87" s="442">
        <v>13</v>
      </c>
      <c r="G87" s="442"/>
      <c r="H87" s="442"/>
      <c r="I87" s="252">
        <v>1976</v>
      </c>
      <c r="J87" s="252">
        <v>2018</v>
      </c>
      <c r="K87" s="252" t="s">
        <v>74</v>
      </c>
      <c r="L87" s="252">
        <v>9</v>
      </c>
      <c r="M87" s="252">
        <v>4</v>
      </c>
      <c r="N87" s="418">
        <f>714+7519.9</f>
        <v>8233.9</v>
      </c>
      <c r="O87" s="418">
        <v>7519.9</v>
      </c>
      <c r="P87" s="418">
        <v>7139</v>
      </c>
      <c r="Q87" s="252">
        <v>379</v>
      </c>
      <c r="R87" s="448">
        <f>S87+T87+U87+V87</f>
        <v>7636848</v>
      </c>
      <c r="S87" s="449">
        <v>0</v>
      </c>
      <c r="T87" s="449">
        <v>0</v>
      </c>
      <c r="U87" s="449">
        <v>0</v>
      </c>
      <c r="V87" s="448">
        <v>7636848</v>
      </c>
      <c r="W87" s="448">
        <f>R87/O87</f>
        <v>1015.5518025505659</v>
      </c>
      <c r="X87" s="205">
        <v>11424</v>
      </c>
      <c r="Y87" s="450" t="s">
        <v>161</v>
      </c>
    </row>
    <row r="88" spans="1:25" s="451" customFormat="1" ht="22.15" customHeight="1" x14ac:dyDescent="0.25">
      <c r="A88" s="442">
        <v>3</v>
      </c>
      <c r="B88" s="40" t="s">
        <v>70</v>
      </c>
      <c r="C88" s="40" t="s">
        <v>71</v>
      </c>
      <c r="D88" s="447" t="s">
        <v>78</v>
      </c>
      <c r="E88" s="447" t="s">
        <v>152</v>
      </c>
      <c r="F88" s="441" t="s">
        <v>157</v>
      </c>
      <c r="G88" s="442"/>
      <c r="H88" s="442"/>
      <c r="I88" s="233">
        <v>1976</v>
      </c>
      <c r="J88" s="233">
        <v>2016</v>
      </c>
      <c r="K88" s="452" t="s">
        <v>74</v>
      </c>
      <c r="L88" s="453">
        <v>9</v>
      </c>
      <c r="M88" s="453">
        <v>1</v>
      </c>
      <c r="N88" s="417">
        <v>2245.4</v>
      </c>
      <c r="O88" s="417">
        <v>2245.4</v>
      </c>
      <c r="P88" s="417">
        <v>2188.3000000000002</v>
      </c>
      <c r="Q88" s="454">
        <v>71</v>
      </c>
      <c r="R88" s="448">
        <f>S88+T88+U88+V88</f>
        <v>2212170</v>
      </c>
      <c r="S88" s="449">
        <v>0</v>
      </c>
      <c r="T88" s="449">
        <v>0</v>
      </c>
      <c r="U88" s="449">
        <v>0</v>
      </c>
      <c r="V88" s="448">
        <v>2212170</v>
      </c>
      <c r="W88" s="448">
        <f>R88/O88</f>
        <v>985.20085508149987</v>
      </c>
      <c r="X88" s="205">
        <v>11424</v>
      </c>
      <c r="Y88" s="450" t="s">
        <v>161</v>
      </c>
    </row>
    <row r="89" spans="1:25" s="451" customFormat="1" ht="22.15" customHeight="1" x14ac:dyDescent="0.25">
      <c r="A89" s="442">
        <v>4</v>
      </c>
      <c r="B89" s="40" t="s">
        <v>70</v>
      </c>
      <c r="C89" s="40" t="s">
        <v>71</v>
      </c>
      <c r="D89" s="40" t="s">
        <v>78</v>
      </c>
      <c r="E89" s="440" t="s">
        <v>152</v>
      </c>
      <c r="F89" s="442">
        <v>15</v>
      </c>
      <c r="G89" s="442"/>
      <c r="H89" s="442"/>
      <c r="I89" s="252">
        <v>1975</v>
      </c>
      <c r="J89" s="252">
        <v>2015</v>
      </c>
      <c r="K89" s="252" t="s">
        <v>74</v>
      </c>
      <c r="L89" s="252">
        <v>9</v>
      </c>
      <c r="M89" s="252">
        <v>1</v>
      </c>
      <c r="N89" s="418">
        <v>3448.1</v>
      </c>
      <c r="O89" s="418">
        <v>2899.1</v>
      </c>
      <c r="P89" s="418">
        <v>2819.4</v>
      </c>
      <c r="Q89" s="252">
        <v>250</v>
      </c>
      <c r="R89" s="448">
        <f t="shared" ref="R89:R116" si="14">S89+T89+U89+V89</f>
        <v>5153334</v>
      </c>
      <c r="S89" s="449">
        <v>0</v>
      </c>
      <c r="T89" s="449">
        <v>0</v>
      </c>
      <c r="U89" s="449">
        <v>0</v>
      </c>
      <c r="V89" s="448">
        <v>5153334</v>
      </c>
      <c r="W89" s="448">
        <f t="shared" ref="W89:W117" si="15">R89/O89</f>
        <v>1777.5633817391604</v>
      </c>
      <c r="X89" s="205">
        <v>11424</v>
      </c>
      <c r="Y89" s="450" t="s">
        <v>161</v>
      </c>
    </row>
    <row r="90" spans="1:25" s="451" customFormat="1" ht="22.15" customHeight="1" x14ac:dyDescent="0.25">
      <c r="A90" s="442">
        <v>5</v>
      </c>
      <c r="B90" s="40" t="s">
        <v>70</v>
      </c>
      <c r="C90" s="40" t="s">
        <v>71</v>
      </c>
      <c r="D90" s="40" t="s">
        <v>78</v>
      </c>
      <c r="E90" s="440" t="s">
        <v>85</v>
      </c>
      <c r="F90" s="441" t="s">
        <v>157</v>
      </c>
      <c r="G90" s="442"/>
      <c r="H90" s="442"/>
      <c r="I90" s="455">
        <v>1981</v>
      </c>
      <c r="J90" s="455">
        <v>2018</v>
      </c>
      <c r="K90" s="455" t="s">
        <v>75</v>
      </c>
      <c r="L90" s="456">
        <v>9</v>
      </c>
      <c r="M90" s="456">
        <v>3</v>
      </c>
      <c r="N90" s="457">
        <f>O90+974.3</f>
        <v>6606.5</v>
      </c>
      <c r="O90" s="457">
        <v>5632.2</v>
      </c>
      <c r="P90" s="417">
        <v>5366.9</v>
      </c>
      <c r="Q90" s="458">
        <v>275</v>
      </c>
      <c r="R90" s="448">
        <f t="shared" si="14"/>
        <v>1296870</v>
      </c>
      <c r="S90" s="449">
        <v>0</v>
      </c>
      <c r="T90" s="449">
        <v>0</v>
      </c>
      <c r="U90" s="449">
        <v>0</v>
      </c>
      <c r="V90" s="448">
        <v>1296870</v>
      </c>
      <c r="W90" s="448">
        <f t="shared" si="15"/>
        <v>230.25993395120912</v>
      </c>
      <c r="X90" s="205">
        <v>11424</v>
      </c>
      <c r="Y90" s="450" t="s">
        <v>161</v>
      </c>
    </row>
    <row r="91" spans="1:25" s="451" customFormat="1" ht="22.15" customHeight="1" x14ac:dyDescent="0.25">
      <c r="A91" s="442">
        <v>6</v>
      </c>
      <c r="B91" s="40" t="s">
        <v>70</v>
      </c>
      <c r="C91" s="40" t="s">
        <v>71</v>
      </c>
      <c r="D91" s="40" t="s">
        <v>78</v>
      </c>
      <c r="E91" s="443" t="s">
        <v>151</v>
      </c>
      <c r="F91" s="442">
        <v>10</v>
      </c>
      <c r="G91" s="442"/>
      <c r="H91" s="442"/>
      <c r="I91" s="233">
        <v>1972</v>
      </c>
      <c r="J91" s="233"/>
      <c r="K91" s="459" t="s">
        <v>74</v>
      </c>
      <c r="L91" s="456">
        <v>5</v>
      </c>
      <c r="M91" s="456">
        <v>4</v>
      </c>
      <c r="N91" s="457">
        <v>948.1</v>
      </c>
      <c r="O91" s="457">
        <v>3558.7</v>
      </c>
      <c r="P91" s="417">
        <v>2225.4</v>
      </c>
      <c r="Q91" s="458">
        <v>143</v>
      </c>
      <c r="R91" s="448">
        <f t="shared" si="14"/>
        <v>5952696</v>
      </c>
      <c r="S91" s="449">
        <v>0</v>
      </c>
      <c r="T91" s="449">
        <v>0</v>
      </c>
      <c r="U91" s="449">
        <v>0</v>
      </c>
      <c r="V91" s="448">
        <v>5952696</v>
      </c>
      <c r="W91" s="448">
        <f t="shared" si="15"/>
        <v>1672.7164413971395</v>
      </c>
      <c r="X91" s="205">
        <v>11424</v>
      </c>
      <c r="Y91" s="450" t="s">
        <v>161</v>
      </c>
    </row>
    <row r="92" spans="1:25" s="451" customFormat="1" ht="22.15" customHeight="1" x14ac:dyDescent="0.25">
      <c r="A92" s="442">
        <v>7</v>
      </c>
      <c r="B92" s="40" t="s">
        <v>70</v>
      </c>
      <c r="C92" s="40" t="s">
        <v>71</v>
      </c>
      <c r="D92" s="447" t="s">
        <v>80</v>
      </c>
      <c r="E92" s="447" t="s">
        <v>86</v>
      </c>
      <c r="F92" s="442">
        <v>19</v>
      </c>
      <c r="G92" s="442"/>
      <c r="H92" s="460"/>
      <c r="I92" s="252">
        <v>1977</v>
      </c>
      <c r="J92" s="252"/>
      <c r="K92" s="252" t="s">
        <v>74</v>
      </c>
      <c r="L92" s="252">
        <v>5</v>
      </c>
      <c r="M92" s="252">
        <v>9</v>
      </c>
      <c r="N92" s="418">
        <v>7107.3</v>
      </c>
      <c r="O92" s="418">
        <v>4895</v>
      </c>
      <c r="P92" s="418">
        <v>4692.6000000000004</v>
      </c>
      <c r="Q92" s="252">
        <v>210</v>
      </c>
      <c r="R92" s="448">
        <f t="shared" si="14"/>
        <v>6680688</v>
      </c>
      <c r="S92" s="449">
        <v>0</v>
      </c>
      <c r="T92" s="449">
        <v>0</v>
      </c>
      <c r="U92" s="449">
        <v>0</v>
      </c>
      <c r="V92" s="448">
        <v>6680688</v>
      </c>
      <c r="W92" s="448">
        <f t="shared" si="15"/>
        <v>1364.7983656792646</v>
      </c>
      <c r="X92" s="205">
        <v>11424</v>
      </c>
      <c r="Y92" s="450" t="s">
        <v>161</v>
      </c>
    </row>
    <row r="93" spans="1:25" s="451" customFormat="1" ht="22.15" customHeight="1" x14ac:dyDescent="0.25">
      <c r="A93" s="442">
        <v>8</v>
      </c>
      <c r="B93" s="40" t="s">
        <v>70</v>
      </c>
      <c r="C93" s="40" t="s">
        <v>71</v>
      </c>
      <c r="D93" s="40" t="s">
        <v>78</v>
      </c>
      <c r="E93" s="443" t="s">
        <v>148</v>
      </c>
      <c r="F93" s="442">
        <v>19</v>
      </c>
      <c r="G93" s="442"/>
      <c r="H93" s="442"/>
      <c r="I93" s="233">
        <v>1962</v>
      </c>
      <c r="J93" s="233"/>
      <c r="K93" s="452" t="s">
        <v>74</v>
      </c>
      <c r="L93" s="453">
        <v>4</v>
      </c>
      <c r="M93" s="453">
        <v>4</v>
      </c>
      <c r="N93" s="417">
        <v>2992.6</v>
      </c>
      <c r="O93" s="417">
        <v>2992.6</v>
      </c>
      <c r="P93" s="417">
        <v>2607</v>
      </c>
      <c r="Q93" s="454">
        <v>132</v>
      </c>
      <c r="R93" s="448">
        <f t="shared" si="14"/>
        <v>9313994</v>
      </c>
      <c r="S93" s="449">
        <v>0</v>
      </c>
      <c r="T93" s="449">
        <v>0</v>
      </c>
      <c r="U93" s="449">
        <v>0</v>
      </c>
      <c r="V93" s="448">
        <v>9313994</v>
      </c>
      <c r="W93" s="448">
        <f t="shared" si="15"/>
        <v>3112.3417763817415</v>
      </c>
      <c r="X93" s="205">
        <v>11424</v>
      </c>
      <c r="Y93" s="450" t="s">
        <v>161</v>
      </c>
    </row>
    <row r="94" spans="1:25" s="451" customFormat="1" ht="22.15" customHeight="1" x14ac:dyDescent="0.25">
      <c r="A94" s="442">
        <v>9</v>
      </c>
      <c r="B94" s="40" t="s">
        <v>70</v>
      </c>
      <c r="C94" s="40" t="s">
        <v>71</v>
      </c>
      <c r="D94" s="40" t="s">
        <v>78</v>
      </c>
      <c r="E94" s="443" t="s">
        <v>147</v>
      </c>
      <c r="F94" s="442">
        <v>3</v>
      </c>
      <c r="G94" s="442"/>
      <c r="H94" s="442"/>
      <c r="I94" s="233">
        <v>1962</v>
      </c>
      <c r="J94" s="233"/>
      <c r="K94" s="452" t="s">
        <v>74</v>
      </c>
      <c r="L94" s="453">
        <v>4</v>
      </c>
      <c r="M94" s="453">
        <v>2</v>
      </c>
      <c r="N94" s="417">
        <v>1391.1</v>
      </c>
      <c r="O94" s="417">
        <v>1391.1</v>
      </c>
      <c r="P94" s="417">
        <v>1291.9000000000001</v>
      </c>
      <c r="Q94" s="454">
        <v>62</v>
      </c>
      <c r="R94" s="448">
        <f t="shared" si="14"/>
        <v>4472430</v>
      </c>
      <c r="S94" s="449">
        <v>0</v>
      </c>
      <c r="T94" s="449">
        <v>0</v>
      </c>
      <c r="U94" s="449">
        <v>0</v>
      </c>
      <c r="V94" s="448">
        <v>4472430</v>
      </c>
      <c r="W94" s="448">
        <f t="shared" si="15"/>
        <v>3215.0312702178135</v>
      </c>
      <c r="X94" s="205">
        <v>11424</v>
      </c>
      <c r="Y94" s="450" t="s">
        <v>161</v>
      </c>
    </row>
    <row r="95" spans="1:25" s="451" customFormat="1" ht="22.15" customHeight="1" x14ac:dyDescent="0.25">
      <c r="A95" s="442">
        <v>10</v>
      </c>
      <c r="B95" s="40" t="s">
        <v>70</v>
      </c>
      <c r="C95" s="40" t="s">
        <v>71</v>
      </c>
      <c r="D95" s="447" t="s">
        <v>78</v>
      </c>
      <c r="E95" s="447" t="s">
        <v>147</v>
      </c>
      <c r="F95" s="442">
        <v>15</v>
      </c>
      <c r="G95" s="442"/>
      <c r="H95" s="442"/>
      <c r="I95" s="233">
        <v>1971</v>
      </c>
      <c r="J95" s="233">
        <v>2018</v>
      </c>
      <c r="K95" s="459" t="s">
        <v>74</v>
      </c>
      <c r="L95" s="456">
        <v>9</v>
      </c>
      <c r="M95" s="456">
        <v>6</v>
      </c>
      <c r="N95" s="457">
        <v>12232.300000000001</v>
      </c>
      <c r="O95" s="457">
        <v>11053.7</v>
      </c>
      <c r="P95" s="457">
        <v>10526.2</v>
      </c>
      <c r="Q95" s="458">
        <v>485</v>
      </c>
      <c r="R95" s="448">
        <f t="shared" si="14"/>
        <v>10822092</v>
      </c>
      <c r="S95" s="449">
        <v>0</v>
      </c>
      <c r="T95" s="449">
        <v>0</v>
      </c>
      <c r="U95" s="449">
        <v>0</v>
      </c>
      <c r="V95" s="448">
        <v>10822092</v>
      </c>
      <c r="W95" s="448">
        <f t="shared" si="15"/>
        <v>979.04701593131711</v>
      </c>
      <c r="X95" s="205">
        <v>11424</v>
      </c>
      <c r="Y95" s="450" t="s">
        <v>161</v>
      </c>
    </row>
    <row r="96" spans="1:25" s="451" customFormat="1" ht="22.15" customHeight="1" x14ac:dyDescent="0.25">
      <c r="A96" s="442">
        <v>11</v>
      </c>
      <c r="B96" s="40" t="s">
        <v>70</v>
      </c>
      <c r="C96" s="40" t="s">
        <v>71</v>
      </c>
      <c r="D96" s="447" t="s">
        <v>78</v>
      </c>
      <c r="E96" s="447" t="s">
        <v>147</v>
      </c>
      <c r="F96" s="442">
        <v>38</v>
      </c>
      <c r="G96" s="442"/>
      <c r="H96" s="442"/>
      <c r="I96" s="233">
        <v>1989</v>
      </c>
      <c r="J96" s="233">
        <v>2015</v>
      </c>
      <c r="K96" s="459" t="s">
        <v>75</v>
      </c>
      <c r="L96" s="456">
        <v>9</v>
      </c>
      <c r="M96" s="456">
        <v>1</v>
      </c>
      <c r="N96" s="457">
        <v>6592.6</v>
      </c>
      <c r="O96" s="457">
        <v>5512.5</v>
      </c>
      <c r="P96" s="457">
        <v>5404.3</v>
      </c>
      <c r="Q96" s="458">
        <v>267</v>
      </c>
      <c r="R96" s="448">
        <f t="shared" si="14"/>
        <v>5470638</v>
      </c>
      <c r="S96" s="449">
        <v>0</v>
      </c>
      <c r="T96" s="449">
        <v>0</v>
      </c>
      <c r="U96" s="449">
        <v>0</v>
      </c>
      <c r="V96" s="448">
        <v>5470638</v>
      </c>
      <c r="W96" s="448">
        <f t="shared" si="15"/>
        <v>992.40598639455777</v>
      </c>
      <c r="X96" s="205">
        <v>11424</v>
      </c>
      <c r="Y96" s="450" t="s">
        <v>161</v>
      </c>
    </row>
    <row r="97" spans="1:25" s="451" customFormat="1" ht="22.15" customHeight="1" x14ac:dyDescent="0.25">
      <c r="A97" s="442">
        <v>12</v>
      </c>
      <c r="B97" s="40" t="s">
        <v>70</v>
      </c>
      <c r="C97" s="40" t="s">
        <v>71</v>
      </c>
      <c r="D97" s="447" t="s">
        <v>78</v>
      </c>
      <c r="E97" s="447" t="s">
        <v>147</v>
      </c>
      <c r="F97" s="442">
        <v>40</v>
      </c>
      <c r="G97" s="442"/>
      <c r="H97" s="442"/>
      <c r="I97" s="233">
        <v>1989</v>
      </c>
      <c r="J97" s="233">
        <v>2018</v>
      </c>
      <c r="K97" s="459" t="s">
        <v>75</v>
      </c>
      <c r="L97" s="456">
        <v>9</v>
      </c>
      <c r="M97" s="456">
        <v>1</v>
      </c>
      <c r="N97" s="457">
        <v>6650.6</v>
      </c>
      <c r="O97" s="457">
        <v>5542.5</v>
      </c>
      <c r="P97" s="457">
        <v>5000</v>
      </c>
      <c r="Q97" s="458">
        <v>326</v>
      </c>
      <c r="R97" s="448">
        <f t="shared" si="14"/>
        <v>5495046</v>
      </c>
      <c r="S97" s="449">
        <v>0</v>
      </c>
      <c r="T97" s="449">
        <v>0</v>
      </c>
      <c r="U97" s="449">
        <v>0</v>
      </c>
      <c r="V97" s="448">
        <v>5495046</v>
      </c>
      <c r="W97" s="448">
        <f t="shared" si="15"/>
        <v>991.43815967523676</v>
      </c>
      <c r="X97" s="205">
        <v>11424</v>
      </c>
      <c r="Y97" s="450" t="s">
        <v>161</v>
      </c>
    </row>
    <row r="98" spans="1:25" s="451" customFormat="1" ht="22.15" customHeight="1" x14ac:dyDescent="0.25">
      <c r="A98" s="442">
        <v>13</v>
      </c>
      <c r="B98" s="40" t="s">
        <v>70</v>
      </c>
      <c r="C98" s="40" t="s">
        <v>71</v>
      </c>
      <c r="D98" s="40" t="s">
        <v>78</v>
      </c>
      <c r="E98" s="443" t="s">
        <v>147</v>
      </c>
      <c r="F98" s="442">
        <v>52</v>
      </c>
      <c r="G98" s="442"/>
      <c r="H98" s="442"/>
      <c r="I98" s="233">
        <v>1989</v>
      </c>
      <c r="J98" s="233">
        <v>2015</v>
      </c>
      <c r="K98" s="459" t="s">
        <v>75</v>
      </c>
      <c r="L98" s="456">
        <v>9</v>
      </c>
      <c r="M98" s="456">
        <v>6</v>
      </c>
      <c r="N98" s="457">
        <v>14913.22</v>
      </c>
      <c r="O98" s="457">
        <v>11593.2</v>
      </c>
      <c r="P98" s="457">
        <v>11477</v>
      </c>
      <c r="Q98" s="458">
        <v>613</v>
      </c>
      <c r="R98" s="448">
        <f t="shared" si="14"/>
        <v>9656610</v>
      </c>
      <c r="S98" s="449">
        <v>0</v>
      </c>
      <c r="T98" s="449">
        <v>0</v>
      </c>
      <c r="U98" s="449">
        <v>0</v>
      </c>
      <c r="V98" s="448">
        <v>9656610</v>
      </c>
      <c r="W98" s="448">
        <f t="shared" si="15"/>
        <v>832.95466307835625</v>
      </c>
      <c r="X98" s="205">
        <v>11424</v>
      </c>
      <c r="Y98" s="450" t="s">
        <v>161</v>
      </c>
    </row>
    <row r="99" spans="1:25" s="451" customFormat="1" ht="22.15" customHeight="1" x14ac:dyDescent="0.25">
      <c r="A99" s="442">
        <v>14</v>
      </c>
      <c r="B99" s="40" t="s">
        <v>70</v>
      </c>
      <c r="C99" s="40" t="s">
        <v>71</v>
      </c>
      <c r="D99" s="40" t="s">
        <v>78</v>
      </c>
      <c r="E99" s="440" t="s">
        <v>147</v>
      </c>
      <c r="F99" s="442">
        <v>54</v>
      </c>
      <c r="G99" s="442"/>
      <c r="H99" s="442"/>
      <c r="I99" s="233">
        <v>1988</v>
      </c>
      <c r="J99" s="233">
        <v>2016</v>
      </c>
      <c r="K99" s="459" t="s">
        <v>164</v>
      </c>
      <c r="L99" s="456">
        <v>9</v>
      </c>
      <c r="M99" s="456">
        <v>4</v>
      </c>
      <c r="N99" s="457">
        <v>1174.2</v>
      </c>
      <c r="O99" s="457">
        <v>8145.9</v>
      </c>
      <c r="P99" s="417">
        <v>4144.2</v>
      </c>
      <c r="Q99" s="458">
        <v>345</v>
      </c>
      <c r="R99" s="448">
        <f t="shared" si="14"/>
        <v>3092400</v>
      </c>
      <c r="S99" s="449">
        <v>0</v>
      </c>
      <c r="T99" s="449">
        <v>0</v>
      </c>
      <c r="U99" s="449">
        <v>0</v>
      </c>
      <c r="V99" s="448">
        <v>3092400</v>
      </c>
      <c r="W99" s="448">
        <f t="shared" si="15"/>
        <v>379.62656060103859</v>
      </c>
      <c r="X99" s="205">
        <v>11424</v>
      </c>
      <c r="Y99" s="450" t="s">
        <v>161</v>
      </c>
    </row>
    <row r="100" spans="1:25" s="451" customFormat="1" ht="22.15" customHeight="1" x14ac:dyDescent="0.25">
      <c r="A100" s="442">
        <v>15</v>
      </c>
      <c r="B100" s="40" t="s">
        <v>70</v>
      </c>
      <c r="C100" s="40" t="s">
        <v>71</v>
      </c>
      <c r="D100" s="447" t="s">
        <v>72</v>
      </c>
      <c r="E100" s="447" t="s">
        <v>73</v>
      </c>
      <c r="F100" s="441" t="s">
        <v>159</v>
      </c>
      <c r="G100" s="442"/>
      <c r="H100" s="442"/>
      <c r="I100" s="252">
        <v>1954</v>
      </c>
      <c r="J100" s="252"/>
      <c r="K100" s="252" t="s">
        <v>74</v>
      </c>
      <c r="L100" s="252">
        <v>3</v>
      </c>
      <c r="M100" s="252">
        <v>4</v>
      </c>
      <c r="N100" s="418">
        <v>4076.4</v>
      </c>
      <c r="O100" s="418">
        <v>2114.9</v>
      </c>
      <c r="P100" s="418">
        <v>2080.3000000000002</v>
      </c>
      <c r="Q100" s="252">
        <v>59</v>
      </c>
      <c r="R100" s="448">
        <f t="shared" si="14"/>
        <v>7823375</v>
      </c>
      <c r="S100" s="449">
        <v>0</v>
      </c>
      <c r="T100" s="449">
        <v>0</v>
      </c>
      <c r="U100" s="449">
        <v>0</v>
      </c>
      <c r="V100" s="448">
        <v>7823375</v>
      </c>
      <c r="W100" s="448">
        <f t="shared" si="15"/>
        <v>3699.1701735306633</v>
      </c>
      <c r="X100" s="205">
        <v>11424</v>
      </c>
      <c r="Y100" s="450" t="s">
        <v>161</v>
      </c>
    </row>
    <row r="101" spans="1:25" s="451" customFormat="1" ht="22.15" customHeight="1" x14ac:dyDescent="0.25">
      <c r="A101" s="442">
        <v>16</v>
      </c>
      <c r="B101" s="40" t="s">
        <v>70</v>
      </c>
      <c r="C101" s="40" t="s">
        <v>71</v>
      </c>
      <c r="D101" s="209" t="s">
        <v>72</v>
      </c>
      <c r="E101" s="443" t="s">
        <v>145</v>
      </c>
      <c r="F101" s="442">
        <v>30</v>
      </c>
      <c r="G101" s="442"/>
      <c r="H101" s="442"/>
      <c r="I101" s="252">
        <v>1956</v>
      </c>
      <c r="J101" s="252"/>
      <c r="K101" s="252" t="s">
        <v>74</v>
      </c>
      <c r="L101" s="252">
        <v>3</v>
      </c>
      <c r="M101" s="252">
        <v>4</v>
      </c>
      <c r="N101" s="418">
        <v>3565.9</v>
      </c>
      <c r="O101" s="418">
        <v>1937</v>
      </c>
      <c r="P101" s="418">
        <v>1520.2</v>
      </c>
      <c r="Q101" s="252">
        <v>50</v>
      </c>
      <c r="R101" s="448">
        <f t="shared" si="14"/>
        <v>7849752</v>
      </c>
      <c r="S101" s="449">
        <v>0</v>
      </c>
      <c r="T101" s="449">
        <v>0</v>
      </c>
      <c r="U101" s="449">
        <v>0</v>
      </c>
      <c r="V101" s="448">
        <v>7849752</v>
      </c>
      <c r="W101" s="448">
        <f t="shared" si="15"/>
        <v>4052.530717604543</v>
      </c>
      <c r="X101" s="205">
        <v>11424</v>
      </c>
      <c r="Y101" s="450" t="s">
        <v>161</v>
      </c>
    </row>
    <row r="102" spans="1:25" s="451" customFormat="1" ht="22.15" customHeight="1" x14ac:dyDescent="0.25">
      <c r="A102" s="442">
        <v>17</v>
      </c>
      <c r="B102" s="40" t="s">
        <v>70</v>
      </c>
      <c r="C102" s="40" t="s">
        <v>71</v>
      </c>
      <c r="D102" s="209" t="s">
        <v>72</v>
      </c>
      <c r="E102" s="443" t="s">
        <v>145</v>
      </c>
      <c r="F102" s="442">
        <v>44</v>
      </c>
      <c r="G102" s="442"/>
      <c r="H102" s="442"/>
      <c r="I102" s="252">
        <v>1959</v>
      </c>
      <c r="J102" s="252"/>
      <c r="K102" s="252" t="s">
        <v>74</v>
      </c>
      <c r="L102" s="252">
        <v>4</v>
      </c>
      <c r="M102" s="252">
        <v>7</v>
      </c>
      <c r="N102" s="418">
        <v>5305.9</v>
      </c>
      <c r="O102" s="418">
        <f>4511.8+202+592.1</f>
        <v>5305.9000000000005</v>
      </c>
      <c r="P102" s="418">
        <v>5173.3</v>
      </c>
      <c r="Q102" s="252">
        <v>180</v>
      </c>
      <c r="R102" s="448">
        <f t="shared" si="14"/>
        <v>15406418</v>
      </c>
      <c r="S102" s="449">
        <v>0</v>
      </c>
      <c r="T102" s="449">
        <v>0</v>
      </c>
      <c r="U102" s="449">
        <v>0</v>
      </c>
      <c r="V102" s="448">
        <v>15406418</v>
      </c>
      <c r="W102" s="448">
        <f t="shared" si="15"/>
        <v>2903.6389679413478</v>
      </c>
      <c r="X102" s="205">
        <v>11424</v>
      </c>
      <c r="Y102" s="450" t="s">
        <v>161</v>
      </c>
    </row>
    <row r="103" spans="1:25" s="451" customFormat="1" ht="22.15" customHeight="1" x14ac:dyDescent="0.25">
      <c r="A103" s="442">
        <v>18</v>
      </c>
      <c r="B103" s="40" t="s">
        <v>70</v>
      </c>
      <c r="C103" s="40" t="s">
        <v>71</v>
      </c>
      <c r="D103" s="447" t="s">
        <v>72</v>
      </c>
      <c r="E103" s="447" t="s">
        <v>73</v>
      </c>
      <c r="F103" s="442">
        <v>50</v>
      </c>
      <c r="G103" s="442"/>
      <c r="H103" s="442"/>
      <c r="I103" s="252">
        <v>1964</v>
      </c>
      <c r="J103" s="252"/>
      <c r="K103" s="252" t="s">
        <v>74</v>
      </c>
      <c r="L103" s="252">
        <v>5</v>
      </c>
      <c r="M103" s="252">
        <v>4</v>
      </c>
      <c r="N103" s="418">
        <v>4312.8</v>
      </c>
      <c r="O103" s="418">
        <v>3132.7</v>
      </c>
      <c r="P103" s="418">
        <v>2685.3</v>
      </c>
      <c r="Q103" s="252">
        <v>95</v>
      </c>
      <c r="R103" s="448">
        <f t="shared" si="14"/>
        <v>11545065</v>
      </c>
      <c r="S103" s="449">
        <v>0</v>
      </c>
      <c r="T103" s="449">
        <v>0</v>
      </c>
      <c r="U103" s="449">
        <v>0</v>
      </c>
      <c r="V103" s="448">
        <v>11545065</v>
      </c>
      <c r="W103" s="448">
        <f t="shared" si="15"/>
        <v>3685.3401219395414</v>
      </c>
      <c r="X103" s="205">
        <v>11424</v>
      </c>
      <c r="Y103" s="450" t="s">
        <v>161</v>
      </c>
    </row>
    <row r="104" spans="1:25" s="451" customFormat="1" ht="22.15" customHeight="1" x14ac:dyDescent="0.25">
      <c r="A104" s="442">
        <v>19</v>
      </c>
      <c r="B104" s="40" t="s">
        <v>70</v>
      </c>
      <c r="C104" s="40" t="s">
        <v>71</v>
      </c>
      <c r="D104" s="209" t="s">
        <v>72</v>
      </c>
      <c r="E104" s="443" t="s">
        <v>145</v>
      </c>
      <c r="F104" s="442">
        <v>55</v>
      </c>
      <c r="G104" s="442"/>
      <c r="H104" s="442"/>
      <c r="I104" s="252">
        <v>1962</v>
      </c>
      <c r="J104" s="252"/>
      <c r="K104" s="252" t="s">
        <v>74</v>
      </c>
      <c r="L104" s="252">
        <v>4</v>
      </c>
      <c r="M104" s="252">
        <v>2</v>
      </c>
      <c r="N104" s="418">
        <v>1844.2</v>
      </c>
      <c r="O104" s="418">
        <v>1281.8</v>
      </c>
      <c r="P104" s="418">
        <v>1214.3</v>
      </c>
      <c r="Q104" s="252">
        <v>58</v>
      </c>
      <c r="R104" s="448">
        <f t="shared" si="14"/>
        <v>4465072</v>
      </c>
      <c r="S104" s="449">
        <v>0</v>
      </c>
      <c r="T104" s="449">
        <v>0</v>
      </c>
      <c r="U104" s="449">
        <v>0</v>
      </c>
      <c r="V104" s="448">
        <v>4465072</v>
      </c>
      <c r="W104" s="448">
        <f t="shared" si="15"/>
        <v>3483.4389140271496</v>
      </c>
      <c r="X104" s="205">
        <v>11424</v>
      </c>
      <c r="Y104" s="450" t="s">
        <v>161</v>
      </c>
    </row>
    <row r="105" spans="1:25" s="451" customFormat="1" ht="22.15" customHeight="1" x14ac:dyDescent="0.25">
      <c r="A105" s="442">
        <v>20</v>
      </c>
      <c r="B105" s="40" t="s">
        <v>70</v>
      </c>
      <c r="C105" s="40" t="s">
        <v>71</v>
      </c>
      <c r="D105" s="209" t="s">
        <v>72</v>
      </c>
      <c r="E105" s="443" t="s">
        <v>145</v>
      </c>
      <c r="F105" s="442">
        <v>59</v>
      </c>
      <c r="G105" s="442"/>
      <c r="H105" s="442"/>
      <c r="I105" s="233">
        <v>1965</v>
      </c>
      <c r="J105" s="233"/>
      <c r="K105" s="459" t="s">
        <v>74</v>
      </c>
      <c r="L105" s="456">
        <v>4</v>
      </c>
      <c r="M105" s="456">
        <v>5</v>
      </c>
      <c r="N105" s="457">
        <v>3960.3</v>
      </c>
      <c r="O105" s="457">
        <f>3431.3+255.6+273.4</f>
        <v>3960.3</v>
      </c>
      <c r="P105" s="417">
        <v>3789.8</v>
      </c>
      <c r="Q105" s="458">
        <v>152</v>
      </c>
      <c r="R105" s="448">
        <f t="shared" si="14"/>
        <v>11653838</v>
      </c>
      <c r="S105" s="449">
        <v>0</v>
      </c>
      <c r="T105" s="449">
        <v>0</v>
      </c>
      <c r="U105" s="449">
        <v>0</v>
      </c>
      <c r="V105" s="448">
        <v>11653838</v>
      </c>
      <c r="W105" s="448">
        <f t="shared" si="15"/>
        <v>2942.6654546372747</v>
      </c>
      <c r="X105" s="205">
        <v>11424</v>
      </c>
      <c r="Y105" s="450" t="s">
        <v>161</v>
      </c>
    </row>
    <row r="106" spans="1:25" s="451" customFormat="1" ht="22.15" customHeight="1" x14ac:dyDescent="0.25">
      <c r="A106" s="442">
        <v>21</v>
      </c>
      <c r="B106" s="40" t="s">
        <v>70</v>
      </c>
      <c r="C106" s="40" t="s">
        <v>71</v>
      </c>
      <c r="D106" s="209" t="s">
        <v>72</v>
      </c>
      <c r="E106" s="443" t="s">
        <v>145</v>
      </c>
      <c r="F106" s="442">
        <v>61</v>
      </c>
      <c r="G106" s="442"/>
      <c r="H106" s="442"/>
      <c r="I106" s="252">
        <v>1965</v>
      </c>
      <c r="J106" s="252"/>
      <c r="K106" s="252" t="s">
        <v>74</v>
      </c>
      <c r="L106" s="252">
        <v>3</v>
      </c>
      <c r="M106" s="252">
        <v>2</v>
      </c>
      <c r="N106" s="418">
        <v>1856.4</v>
      </c>
      <c r="O106" s="418">
        <v>1291.3</v>
      </c>
      <c r="P106" s="418">
        <v>1291.3</v>
      </c>
      <c r="Q106" s="252">
        <v>49</v>
      </c>
      <c r="R106" s="448">
        <f t="shared" si="14"/>
        <v>4546010</v>
      </c>
      <c r="S106" s="449">
        <v>0</v>
      </c>
      <c r="T106" s="449">
        <v>0</v>
      </c>
      <c r="U106" s="449">
        <v>0</v>
      </c>
      <c r="V106" s="448">
        <v>4546010</v>
      </c>
      <c r="W106" s="448">
        <f t="shared" si="15"/>
        <v>3520.4909780841012</v>
      </c>
      <c r="X106" s="205">
        <v>11424</v>
      </c>
      <c r="Y106" s="450" t="s">
        <v>161</v>
      </c>
    </row>
    <row r="107" spans="1:25" s="451" customFormat="1" ht="22.15" customHeight="1" x14ac:dyDescent="0.25">
      <c r="A107" s="442">
        <v>22</v>
      </c>
      <c r="B107" s="40" t="s">
        <v>70</v>
      </c>
      <c r="C107" s="40" t="s">
        <v>71</v>
      </c>
      <c r="D107" s="209" t="s">
        <v>72</v>
      </c>
      <c r="E107" s="443" t="s">
        <v>122</v>
      </c>
      <c r="F107" s="442">
        <v>108</v>
      </c>
      <c r="G107" s="442"/>
      <c r="H107" s="442"/>
      <c r="I107" s="233">
        <v>1971</v>
      </c>
      <c r="J107" s="233"/>
      <c r="K107" s="459" t="s">
        <v>74</v>
      </c>
      <c r="L107" s="456">
        <v>9</v>
      </c>
      <c r="M107" s="456">
        <v>1</v>
      </c>
      <c r="N107" s="457">
        <v>2198.9</v>
      </c>
      <c r="O107" s="457">
        <v>1955.2</v>
      </c>
      <c r="P107" s="457">
        <v>1955.2</v>
      </c>
      <c r="Q107" s="458">
        <v>86</v>
      </c>
      <c r="R107" s="448">
        <f t="shared" si="14"/>
        <v>231546</v>
      </c>
      <c r="S107" s="449">
        <v>0</v>
      </c>
      <c r="T107" s="449">
        <v>0</v>
      </c>
      <c r="U107" s="449">
        <v>0</v>
      </c>
      <c r="V107" s="448">
        <v>231546</v>
      </c>
      <c r="W107" s="448">
        <f t="shared" si="15"/>
        <v>118.425736497545</v>
      </c>
      <c r="X107" s="205">
        <v>11424</v>
      </c>
      <c r="Y107" s="450" t="s">
        <v>161</v>
      </c>
    </row>
    <row r="108" spans="1:25" s="451" customFormat="1" ht="22.15" customHeight="1" x14ac:dyDescent="0.25">
      <c r="A108" s="442">
        <v>23</v>
      </c>
      <c r="B108" s="40" t="s">
        <v>70</v>
      </c>
      <c r="C108" s="40" t="s">
        <v>71</v>
      </c>
      <c r="D108" s="209" t="s">
        <v>72</v>
      </c>
      <c r="E108" s="447" t="s">
        <v>73</v>
      </c>
      <c r="F108" s="441" t="s">
        <v>156</v>
      </c>
      <c r="G108" s="442"/>
      <c r="H108" s="442"/>
      <c r="I108" s="252">
        <v>1990</v>
      </c>
      <c r="J108" s="252">
        <v>2020</v>
      </c>
      <c r="K108" s="252" t="s">
        <v>74</v>
      </c>
      <c r="L108" s="252">
        <v>12</v>
      </c>
      <c r="M108" s="252">
        <v>1</v>
      </c>
      <c r="N108" s="418">
        <v>6167.65</v>
      </c>
      <c r="O108" s="418">
        <v>4015.1</v>
      </c>
      <c r="P108" s="418">
        <v>3957.5</v>
      </c>
      <c r="Q108" s="252">
        <v>161</v>
      </c>
      <c r="R108" s="448">
        <f t="shared" si="14"/>
        <v>3884118</v>
      </c>
      <c r="S108" s="449">
        <v>0</v>
      </c>
      <c r="T108" s="449">
        <v>0</v>
      </c>
      <c r="U108" s="449">
        <v>0</v>
      </c>
      <c r="V108" s="448">
        <v>3884118</v>
      </c>
      <c r="W108" s="448">
        <f t="shared" si="15"/>
        <v>967.37764937361464</v>
      </c>
      <c r="X108" s="205">
        <v>11424</v>
      </c>
      <c r="Y108" s="450" t="s">
        <v>161</v>
      </c>
    </row>
    <row r="109" spans="1:25" s="451" customFormat="1" ht="22.15" customHeight="1" x14ac:dyDescent="0.25">
      <c r="A109" s="442">
        <v>24</v>
      </c>
      <c r="B109" s="40" t="s">
        <v>70</v>
      </c>
      <c r="C109" s="40" t="s">
        <v>71</v>
      </c>
      <c r="D109" s="209" t="s">
        <v>72</v>
      </c>
      <c r="E109" s="447" t="s">
        <v>73</v>
      </c>
      <c r="F109" s="441" t="s">
        <v>155</v>
      </c>
      <c r="G109" s="442"/>
      <c r="H109" s="442"/>
      <c r="I109" s="252">
        <v>1987</v>
      </c>
      <c r="J109" s="252">
        <v>2018</v>
      </c>
      <c r="K109" s="252" t="s">
        <v>160</v>
      </c>
      <c r="L109" s="252">
        <v>9</v>
      </c>
      <c r="M109" s="461">
        <v>3</v>
      </c>
      <c r="N109" s="462">
        <v>798</v>
      </c>
      <c r="O109" s="418">
        <v>5480.4</v>
      </c>
      <c r="P109" s="418">
        <v>5395.4</v>
      </c>
      <c r="Q109" s="252">
        <v>235</v>
      </c>
      <c r="R109" s="448">
        <f t="shared" si="14"/>
        <v>5037396</v>
      </c>
      <c r="S109" s="449">
        <v>0</v>
      </c>
      <c r="T109" s="449">
        <v>0</v>
      </c>
      <c r="U109" s="449">
        <v>0</v>
      </c>
      <c r="V109" s="448">
        <v>5037396</v>
      </c>
      <c r="W109" s="448">
        <f t="shared" si="15"/>
        <v>919.1657543245019</v>
      </c>
      <c r="X109" s="205">
        <v>11424</v>
      </c>
      <c r="Y109" s="450" t="s">
        <v>161</v>
      </c>
    </row>
    <row r="110" spans="1:25" s="451" customFormat="1" ht="22.15" customHeight="1" x14ac:dyDescent="0.25">
      <c r="A110" s="442">
        <v>25</v>
      </c>
      <c r="B110" s="40" t="s">
        <v>70</v>
      </c>
      <c r="C110" s="40" t="s">
        <v>71</v>
      </c>
      <c r="D110" s="209" t="s">
        <v>72</v>
      </c>
      <c r="E110" s="447" t="s">
        <v>73</v>
      </c>
      <c r="F110" s="441" t="s">
        <v>154</v>
      </c>
      <c r="G110" s="442"/>
      <c r="H110" s="442"/>
      <c r="I110" s="252">
        <v>1987</v>
      </c>
      <c r="J110" s="252">
        <v>2018</v>
      </c>
      <c r="K110" s="252" t="s">
        <v>160</v>
      </c>
      <c r="L110" s="252">
        <v>9</v>
      </c>
      <c r="M110" s="461">
        <v>3</v>
      </c>
      <c r="N110" s="462">
        <v>798.3</v>
      </c>
      <c r="O110" s="418">
        <v>5554.2</v>
      </c>
      <c r="P110" s="418">
        <v>5345.4</v>
      </c>
      <c r="Q110" s="252">
        <v>229</v>
      </c>
      <c r="R110" s="448">
        <f t="shared" si="14"/>
        <v>5043498</v>
      </c>
      <c r="S110" s="449">
        <v>0</v>
      </c>
      <c r="T110" s="449">
        <v>0</v>
      </c>
      <c r="U110" s="449">
        <v>0</v>
      </c>
      <c r="V110" s="448">
        <v>5043498</v>
      </c>
      <c r="W110" s="448">
        <f t="shared" si="15"/>
        <v>908.05120449389653</v>
      </c>
      <c r="X110" s="205">
        <v>11424</v>
      </c>
      <c r="Y110" s="450" t="s">
        <v>161</v>
      </c>
    </row>
    <row r="111" spans="1:25" s="451" customFormat="1" ht="22.15" customHeight="1" x14ac:dyDescent="0.25">
      <c r="A111" s="442">
        <v>26</v>
      </c>
      <c r="B111" s="40" t="s">
        <v>70</v>
      </c>
      <c r="C111" s="40" t="s">
        <v>71</v>
      </c>
      <c r="D111" s="209" t="s">
        <v>72</v>
      </c>
      <c r="E111" s="440" t="s">
        <v>153</v>
      </c>
      <c r="F111" s="442">
        <v>49</v>
      </c>
      <c r="G111" s="442"/>
      <c r="H111" s="442"/>
      <c r="I111" s="252">
        <v>1994</v>
      </c>
      <c r="J111" s="252">
        <v>2018</v>
      </c>
      <c r="K111" s="252" t="s">
        <v>74</v>
      </c>
      <c r="L111" s="252">
        <v>9</v>
      </c>
      <c r="M111" s="252">
        <v>8</v>
      </c>
      <c r="N111" s="418">
        <v>25618.06</v>
      </c>
      <c r="O111" s="418">
        <v>16735.2</v>
      </c>
      <c r="P111" s="418">
        <v>15852.2</v>
      </c>
      <c r="Q111" s="252">
        <v>730</v>
      </c>
      <c r="R111" s="448">
        <f t="shared" si="14"/>
        <v>13282836</v>
      </c>
      <c r="S111" s="449">
        <v>0</v>
      </c>
      <c r="T111" s="449">
        <v>0</v>
      </c>
      <c r="U111" s="449">
        <v>0</v>
      </c>
      <c r="V111" s="448">
        <v>13282836</v>
      </c>
      <c r="W111" s="448">
        <f t="shared" si="15"/>
        <v>793.7064391223289</v>
      </c>
      <c r="X111" s="205">
        <v>11424</v>
      </c>
      <c r="Y111" s="450" t="s">
        <v>161</v>
      </c>
    </row>
    <row r="112" spans="1:25" s="451" customFormat="1" ht="22.15" customHeight="1" x14ac:dyDescent="0.25">
      <c r="A112" s="442">
        <v>27</v>
      </c>
      <c r="B112" s="40" t="s">
        <v>70</v>
      </c>
      <c r="C112" s="40" t="s">
        <v>71</v>
      </c>
      <c r="D112" s="40" t="s">
        <v>78</v>
      </c>
      <c r="E112" s="443" t="s">
        <v>144</v>
      </c>
      <c r="F112" s="442">
        <v>6</v>
      </c>
      <c r="G112" s="442"/>
      <c r="H112" s="442"/>
      <c r="I112" s="233">
        <v>1969</v>
      </c>
      <c r="J112" s="233"/>
      <c r="K112" s="459" t="s">
        <v>74</v>
      </c>
      <c r="L112" s="456">
        <v>5</v>
      </c>
      <c r="M112" s="456">
        <v>6</v>
      </c>
      <c r="N112" s="457">
        <v>5792.7</v>
      </c>
      <c r="O112" s="457">
        <v>5310.3</v>
      </c>
      <c r="P112" s="457">
        <v>4988.6000000000004</v>
      </c>
      <c r="Q112" s="458">
        <v>237</v>
      </c>
      <c r="R112" s="448">
        <f t="shared" si="14"/>
        <v>8924370</v>
      </c>
      <c r="S112" s="449">
        <v>0</v>
      </c>
      <c r="T112" s="449">
        <v>0</v>
      </c>
      <c r="U112" s="449">
        <v>0</v>
      </c>
      <c r="V112" s="448">
        <v>8924370</v>
      </c>
      <c r="W112" s="448">
        <f t="shared" si="15"/>
        <v>1680.5773685102536</v>
      </c>
      <c r="X112" s="205">
        <v>11424</v>
      </c>
      <c r="Y112" s="450" t="s">
        <v>161</v>
      </c>
    </row>
    <row r="113" spans="1:25" s="451" customFormat="1" ht="22.15" customHeight="1" x14ac:dyDescent="0.25">
      <c r="A113" s="442">
        <v>28</v>
      </c>
      <c r="B113" s="40" t="s">
        <v>70</v>
      </c>
      <c r="C113" s="40" t="s">
        <v>71</v>
      </c>
      <c r="D113" s="40" t="s">
        <v>78</v>
      </c>
      <c r="E113" s="443" t="s">
        <v>146</v>
      </c>
      <c r="F113" s="442">
        <v>5</v>
      </c>
      <c r="G113" s="442"/>
      <c r="H113" s="442" t="s">
        <v>88</v>
      </c>
      <c r="I113" s="233">
        <v>1961</v>
      </c>
      <c r="J113" s="233"/>
      <c r="K113" s="452" t="s">
        <v>74</v>
      </c>
      <c r="L113" s="456">
        <v>4</v>
      </c>
      <c r="M113" s="456">
        <v>2</v>
      </c>
      <c r="N113" s="457">
        <v>1386</v>
      </c>
      <c r="O113" s="457">
        <v>1271.5999999999999</v>
      </c>
      <c r="P113" s="417">
        <v>1198.6999999999998</v>
      </c>
      <c r="Q113" s="454">
        <v>91</v>
      </c>
      <c r="R113" s="448">
        <f t="shared" si="14"/>
        <v>5127292</v>
      </c>
      <c r="S113" s="449">
        <v>0</v>
      </c>
      <c r="T113" s="449">
        <v>0</v>
      </c>
      <c r="U113" s="449">
        <v>0</v>
      </c>
      <c r="V113" s="448">
        <v>5127292</v>
      </c>
      <c r="W113" s="448">
        <f t="shared" si="15"/>
        <v>4032.1579112928598</v>
      </c>
      <c r="X113" s="205">
        <v>11424</v>
      </c>
      <c r="Y113" s="450" t="s">
        <v>161</v>
      </c>
    </row>
    <row r="114" spans="1:25" s="451" customFormat="1" ht="22.15" customHeight="1" x14ac:dyDescent="0.25">
      <c r="A114" s="442">
        <v>29</v>
      </c>
      <c r="B114" s="40" t="s">
        <v>70</v>
      </c>
      <c r="C114" s="40" t="s">
        <v>71</v>
      </c>
      <c r="D114" s="40" t="s">
        <v>78</v>
      </c>
      <c r="E114" s="443" t="s">
        <v>146</v>
      </c>
      <c r="F114" s="442">
        <v>19</v>
      </c>
      <c r="G114" s="442"/>
      <c r="H114" s="442"/>
      <c r="I114" s="233">
        <v>1963</v>
      </c>
      <c r="J114" s="233"/>
      <c r="K114" s="459" t="s">
        <v>74</v>
      </c>
      <c r="L114" s="456">
        <v>4</v>
      </c>
      <c r="M114" s="463">
        <v>2</v>
      </c>
      <c r="N114" s="457">
        <v>1312.9</v>
      </c>
      <c r="O114" s="457">
        <v>875.9</v>
      </c>
      <c r="P114" s="417">
        <v>775.5</v>
      </c>
      <c r="Q114" s="458">
        <v>49</v>
      </c>
      <c r="R114" s="448">
        <f t="shared" si="14"/>
        <v>9466137</v>
      </c>
      <c r="S114" s="449">
        <v>0</v>
      </c>
      <c r="T114" s="449">
        <v>0</v>
      </c>
      <c r="U114" s="449">
        <v>0</v>
      </c>
      <c r="V114" s="448">
        <v>9466137</v>
      </c>
      <c r="W114" s="448">
        <f t="shared" si="15"/>
        <v>10807.326178787533</v>
      </c>
      <c r="X114" s="205">
        <v>11424</v>
      </c>
      <c r="Y114" s="450" t="s">
        <v>161</v>
      </c>
    </row>
    <row r="115" spans="1:25" s="451" customFormat="1" ht="22.15" customHeight="1" x14ac:dyDescent="0.25">
      <c r="A115" s="442">
        <v>30</v>
      </c>
      <c r="B115" s="40" t="s">
        <v>70</v>
      </c>
      <c r="C115" s="40" t="s">
        <v>71</v>
      </c>
      <c r="D115" s="40" t="s">
        <v>78</v>
      </c>
      <c r="E115" s="440" t="s">
        <v>90</v>
      </c>
      <c r="F115" s="441" t="s">
        <v>110</v>
      </c>
      <c r="G115" s="442"/>
      <c r="H115" s="442"/>
      <c r="I115" s="233">
        <v>1957</v>
      </c>
      <c r="J115" s="233">
        <v>2021</v>
      </c>
      <c r="K115" s="252" t="s">
        <v>74</v>
      </c>
      <c r="L115" s="456">
        <v>4</v>
      </c>
      <c r="M115" s="456">
        <v>4</v>
      </c>
      <c r="N115" s="457">
        <v>3876.9</v>
      </c>
      <c r="O115" s="457">
        <v>3510.6</v>
      </c>
      <c r="P115" s="417">
        <v>3454.9</v>
      </c>
      <c r="Q115" s="458">
        <v>122</v>
      </c>
      <c r="R115" s="448">
        <f t="shared" si="14"/>
        <v>628091</v>
      </c>
      <c r="S115" s="449">
        <v>0</v>
      </c>
      <c r="T115" s="449">
        <v>0</v>
      </c>
      <c r="U115" s="449">
        <v>0</v>
      </c>
      <c r="V115" s="448">
        <v>628091</v>
      </c>
      <c r="W115" s="448">
        <f t="shared" si="15"/>
        <v>178.91272147211302</v>
      </c>
      <c r="X115" s="205">
        <v>11424</v>
      </c>
      <c r="Y115" s="450" t="s">
        <v>161</v>
      </c>
    </row>
    <row r="116" spans="1:25" s="451" customFormat="1" ht="22.15" customHeight="1" thickBot="1" x14ac:dyDescent="0.3">
      <c r="A116" s="442">
        <v>31</v>
      </c>
      <c r="B116" s="465" t="s">
        <v>70</v>
      </c>
      <c r="C116" s="465" t="s">
        <v>71</v>
      </c>
      <c r="D116" s="465" t="s">
        <v>78</v>
      </c>
      <c r="E116" s="466" t="s">
        <v>150</v>
      </c>
      <c r="F116" s="464">
        <v>17</v>
      </c>
      <c r="G116" s="464"/>
      <c r="H116" s="464" t="s">
        <v>88</v>
      </c>
      <c r="I116" s="467">
        <v>1973</v>
      </c>
      <c r="J116" s="467"/>
      <c r="K116" s="467" t="s">
        <v>74</v>
      </c>
      <c r="L116" s="467">
        <v>5</v>
      </c>
      <c r="M116" s="467">
        <v>6</v>
      </c>
      <c r="N116" s="468">
        <v>5757.6</v>
      </c>
      <c r="O116" s="468">
        <v>5311.9</v>
      </c>
      <c r="P116" s="468">
        <f>O116-120.4</f>
        <v>5191.5</v>
      </c>
      <c r="Q116" s="467">
        <v>263</v>
      </c>
      <c r="R116" s="469">
        <f t="shared" si="14"/>
        <v>9064716</v>
      </c>
      <c r="S116" s="470">
        <v>0</v>
      </c>
      <c r="T116" s="470">
        <v>0</v>
      </c>
      <c r="U116" s="470">
        <v>0</v>
      </c>
      <c r="V116" s="469">
        <v>9064716</v>
      </c>
      <c r="W116" s="469">
        <f t="shared" si="15"/>
        <v>1706.492215591408</v>
      </c>
      <c r="X116" s="444">
        <v>11424</v>
      </c>
      <c r="Y116" s="471" t="s">
        <v>161</v>
      </c>
    </row>
    <row r="117" spans="1:25" s="481" customFormat="1" ht="22.15" customHeight="1" x14ac:dyDescent="0.25">
      <c r="A117" s="483" t="s">
        <v>163</v>
      </c>
      <c r="B117" s="484"/>
      <c r="C117" s="484"/>
      <c r="D117" s="484"/>
      <c r="E117" s="485"/>
      <c r="F117" s="472"/>
      <c r="G117" s="472"/>
      <c r="H117" s="472"/>
      <c r="I117" s="473" t="s">
        <v>69</v>
      </c>
      <c r="J117" s="473"/>
      <c r="K117" s="474" t="s">
        <v>69</v>
      </c>
      <c r="L117" s="475" t="s">
        <v>69</v>
      </c>
      <c r="M117" s="475" t="s">
        <v>69</v>
      </c>
      <c r="N117" s="476">
        <f t="shared" ref="N117:V117" si="16">SUM(N86:N116)</f>
        <v>160399.32999999999</v>
      </c>
      <c r="O117" s="476">
        <f t="shared" si="16"/>
        <v>148299.39999999997</v>
      </c>
      <c r="P117" s="476">
        <f t="shared" si="16"/>
        <v>136769.70000000001</v>
      </c>
      <c r="Q117" s="477">
        <f t="shared" si="16"/>
        <v>6750</v>
      </c>
      <c r="R117" s="478">
        <f t="shared" si="16"/>
        <v>207365000</v>
      </c>
      <c r="S117" s="479">
        <f t="shared" si="16"/>
        <v>0</v>
      </c>
      <c r="T117" s="479">
        <f t="shared" si="16"/>
        <v>0</v>
      </c>
      <c r="U117" s="479">
        <f t="shared" si="16"/>
        <v>0</v>
      </c>
      <c r="V117" s="478">
        <f t="shared" si="16"/>
        <v>207365000</v>
      </c>
      <c r="W117" s="478">
        <f t="shared" si="15"/>
        <v>1398.2861697350095</v>
      </c>
      <c r="X117" s="399">
        <v>11424</v>
      </c>
      <c r="Y117" s="480" t="s">
        <v>69</v>
      </c>
    </row>
    <row r="118" spans="1:25" s="451" customFormat="1" ht="22.15" customHeight="1" x14ac:dyDescent="0.3">
      <c r="A118" s="292"/>
      <c r="B118" s="46"/>
      <c r="C118" s="46"/>
      <c r="D118" s="46"/>
      <c r="E118" s="422"/>
      <c r="F118" s="292"/>
      <c r="G118" s="408"/>
      <c r="H118" s="292"/>
      <c r="I118" s="233"/>
      <c r="J118" s="233"/>
      <c r="K118" s="459"/>
      <c r="L118" s="456"/>
      <c r="M118" s="456"/>
      <c r="N118" s="457"/>
      <c r="O118" s="457"/>
      <c r="P118" s="417"/>
      <c r="Q118" s="458"/>
      <c r="R118" s="448"/>
      <c r="S118" s="449"/>
      <c r="T118" s="449"/>
      <c r="U118" s="449"/>
      <c r="V118" s="448"/>
      <c r="W118" s="448"/>
      <c r="X118" s="411"/>
      <c r="Y118" s="450"/>
    </row>
    <row r="119" spans="1:25" s="451" customFormat="1" ht="22.15" customHeight="1" x14ac:dyDescent="0.3">
      <c r="A119" s="292"/>
      <c r="B119" s="46"/>
      <c r="C119" s="46"/>
      <c r="D119" s="46"/>
      <c r="E119" s="422"/>
      <c r="F119" s="292"/>
      <c r="G119" s="408"/>
      <c r="H119" s="292"/>
      <c r="I119" s="233"/>
      <c r="J119" s="233"/>
      <c r="K119" s="459"/>
      <c r="L119" s="456"/>
      <c r="M119" s="456"/>
      <c r="N119" s="457"/>
      <c r="O119" s="457"/>
      <c r="P119" s="417"/>
      <c r="Q119" s="458"/>
      <c r="R119" s="448"/>
      <c r="S119" s="449"/>
      <c r="T119" s="449"/>
      <c r="U119" s="449"/>
      <c r="V119" s="448"/>
      <c r="W119" s="448"/>
      <c r="X119" s="411"/>
      <c r="Y119" s="450"/>
    </row>
    <row r="120" spans="1:25" x14ac:dyDescent="0.25">
      <c r="A120" s="269"/>
      <c r="B120" s="270"/>
      <c r="C120" s="270"/>
      <c r="D120" s="270"/>
      <c r="E120" s="270"/>
      <c r="F120" s="390"/>
      <c r="G120" s="390"/>
      <c r="H120" s="390"/>
      <c r="I120" s="390"/>
      <c r="J120" s="390"/>
      <c r="K120" s="390"/>
      <c r="L120" s="391"/>
      <c r="M120" s="391"/>
      <c r="N120" s="271"/>
      <c r="O120" s="271"/>
      <c r="P120" s="271"/>
      <c r="Q120" s="272"/>
      <c r="R120" s="271"/>
      <c r="S120" s="271"/>
      <c r="T120" s="271"/>
      <c r="U120" s="271"/>
      <c r="V120" s="271"/>
      <c r="W120" s="271"/>
      <c r="X120" s="392"/>
      <c r="Y120" s="393"/>
    </row>
    <row r="121" spans="1:25" x14ac:dyDescent="0.25">
      <c r="A121" s="203" t="s">
        <v>97</v>
      </c>
    </row>
  </sheetData>
  <sheetProtection autoFilter="0"/>
  <autoFilter ref="A10:AF10"/>
  <mergeCells count="35">
    <mergeCell ref="M6:M9"/>
    <mergeCell ref="A35:Y35"/>
    <mergeCell ref="R6:V6"/>
    <mergeCell ref="B83:E83"/>
    <mergeCell ref="Q6:Q8"/>
    <mergeCell ref="B7:B9"/>
    <mergeCell ref="A33:E33"/>
    <mergeCell ref="I7:I9"/>
    <mergeCell ref="R7:R8"/>
    <mergeCell ref="S7:V7"/>
    <mergeCell ref="O7:O8"/>
    <mergeCell ref="P7:P8"/>
    <mergeCell ref="Y6:Y9"/>
    <mergeCell ref="X6:X8"/>
    <mergeCell ref="E7:E9"/>
    <mergeCell ref="F7:F9"/>
    <mergeCell ref="G7:G9"/>
    <mergeCell ref="H7:H9"/>
    <mergeCell ref="J7:J9"/>
    <mergeCell ref="A117:E117"/>
    <mergeCell ref="S1:Y1"/>
    <mergeCell ref="A5:Y5"/>
    <mergeCell ref="C7:C9"/>
    <mergeCell ref="D7:D9"/>
    <mergeCell ref="N6:N8"/>
    <mergeCell ref="A6:A9"/>
    <mergeCell ref="B6:H6"/>
    <mergeCell ref="I6:J6"/>
    <mergeCell ref="K6:K9"/>
    <mergeCell ref="L6:L9"/>
    <mergeCell ref="O6:P6"/>
    <mergeCell ref="W6:W8"/>
    <mergeCell ref="A85:Y85"/>
    <mergeCell ref="V2:Y2"/>
    <mergeCell ref="V3:Y3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52" fitToWidth="0" fitToHeight="0" pageOrder="overThenDown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" id="{820795D1-4378-4156-9F64-BB1C375EB975}">
            <xm:f>'C:\Рабочая папка\Рег. фонд\Программа по кап. ремонту\Краткосрочные планы\[Сверка краткосрочных планов с рег программой (текущая версия).xlsb]Сверка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C34:H34 C66:G66 E61:H61 G62:H63 C47:H47 G44:H45 G49:H50 C51:H52 G55:H55 G53:H53 C54:H54 C64:H64 C69:H82 C36:H43 F83:H84 C67:F68 C59:H60</xm:sqref>
        </x14:conditionalFormatting>
        <x14:conditionalFormatting xmlns:xm="http://schemas.microsoft.com/office/excel/2006/main">
          <x14:cfRule type="expression" priority="49" id="{2C5E8A38-CACC-4C60-8DAB-E7705115AFD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m:sqref>C120:H120</xm:sqref>
        </x14:conditionalFormatting>
        <x14:conditionalFormatting xmlns:xm="http://schemas.microsoft.com/office/excel/2006/main">
          <x14:cfRule type="expression" priority="39" stopIfTrue="1" id="{A22C504A-2C9A-413B-A6F1-17276ACD5AD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C12:H21</xm:sqref>
        </x14:conditionalFormatting>
        <x14:conditionalFormatting xmlns:xm="http://schemas.microsoft.com/office/excel/2006/main">
          <x14:cfRule type="expression" priority="38" stopIfTrue="1" id="{4A64C0B3-B874-4E85-9197-32FD4E29085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C22:H22 F23:H23 C23</xm:sqref>
        </x14:conditionalFormatting>
        <x14:conditionalFormatting xmlns:xm="http://schemas.microsoft.com/office/excel/2006/main">
          <x14:cfRule type="expression" priority="37" stopIfTrue="1" id="{BD0845B3-805E-40BB-9C00-C3BD7CE3629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C27:D32</xm:sqref>
        </x14:conditionalFormatting>
        <x14:conditionalFormatting xmlns:xm="http://schemas.microsoft.com/office/excel/2006/main">
          <x14:cfRule type="expression" priority="36" stopIfTrue="1" id="{30169569-065C-495A-8CA0-146831E6933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C24:H24</xm:sqref>
        </x14:conditionalFormatting>
        <x14:conditionalFormatting xmlns:xm="http://schemas.microsoft.com/office/excel/2006/main">
          <x14:cfRule type="expression" priority="35" stopIfTrue="1" id="{05F719DD-B183-4C67-A5B9-641F20441E9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C25:H26</xm:sqref>
        </x14:conditionalFormatting>
        <x14:conditionalFormatting xmlns:xm="http://schemas.microsoft.com/office/excel/2006/main">
          <x14:cfRule type="expression" priority="33" stopIfTrue="1" id="{846374F2-26C0-477A-A681-A4B60361208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expression" priority="34" stopIfTrue="1" id="{4F56AD43-AE00-420F-8EAF-FEF1D353CE2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1" stopIfTrue="1" id="{C481D3F0-1AED-40F7-A70A-BA81C775EC1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2" stopIfTrue="1" id="{F6E8214F-2A0D-4DED-B824-2D8FD1B4367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V32</xm:sqref>
        </x14:conditionalFormatting>
        <x14:conditionalFormatting xmlns:xm="http://schemas.microsoft.com/office/excel/2006/main">
          <x14:cfRule type="expression" priority="30" stopIfTrue="1" id="{941F7EB7-8834-4F85-ABA3-F15B3E6B873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C44:E44</xm:sqref>
        </x14:conditionalFormatting>
        <x14:conditionalFormatting xmlns:xm="http://schemas.microsoft.com/office/excel/2006/main">
          <x14:cfRule type="expression" priority="29" stopIfTrue="1" id="{15F111A0-3670-4C2C-86D6-D9BC8A7C4F9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C45:F45</xm:sqref>
        </x14:conditionalFormatting>
        <x14:conditionalFormatting xmlns:xm="http://schemas.microsoft.com/office/excel/2006/main">
          <x14:cfRule type="expression" priority="28" stopIfTrue="1" id="{C2C95D13-C237-4DD1-B10C-07B9020D663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C49:F49</xm:sqref>
        </x14:conditionalFormatting>
        <x14:conditionalFormatting xmlns:xm="http://schemas.microsoft.com/office/excel/2006/main">
          <x14:cfRule type="expression" priority="27" stopIfTrue="1" id="{FC65E996-607F-4271-9E0B-4667F792C8A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C50:D50</xm:sqref>
        </x14:conditionalFormatting>
        <x14:conditionalFormatting xmlns:xm="http://schemas.microsoft.com/office/excel/2006/main">
          <x14:cfRule type="expression" priority="26" stopIfTrue="1" id="{62E25F32-0076-4DFE-92E6-1ADDEF98CBC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C50:D50 C55 C53</xm:sqref>
        </x14:conditionalFormatting>
        <x14:conditionalFormatting xmlns:xm="http://schemas.microsoft.com/office/excel/2006/main">
          <x14:cfRule type="expression" priority="25" stopIfTrue="1" id="{2D6B634D-B1B1-4AB8-A4EC-CE1BE24683E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E50</xm:sqref>
        </x14:conditionalFormatting>
        <x14:conditionalFormatting xmlns:xm="http://schemas.microsoft.com/office/excel/2006/main">
          <x14:cfRule type="expression" priority="24" stopIfTrue="1" id="{45CFCE49-E40B-4224-91CE-C4619761F59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D55:F55 D53:F53</xm:sqref>
        </x14:conditionalFormatting>
        <x14:conditionalFormatting xmlns:xm="http://schemas.microsoft.com/office/excel/2006/main">
          <x14:cfRule type="expression" priority="21" id="{98DDC010-4B01-4E65-ABB3-F8768A7B9AF2}">
            <xm:f>'C:\Рабочая папка\Рег. фонд\Программа по кап. ремонту\Краткосрочные планы\[Сверка краткосрочных планов с рег программой (текущая версия).xlsb]Сверка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expression" priority="20" stopIfTrue="1" id="{F47ADF28-32ED-4B5D-B145-67D964AAC9A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D61 D118:D119</xm:sqref>
        </x14:conditionalFormatting>
        <x14:conditionalFormatting xmlns:xm="http://schemas.microsoft.com/office/excel/2006/main">
          <x14:cfRule type="expression" priority="12" stopIfTrue="1" id="{6E8487BE-50DC-4C9A-B879-0BF1A2E4D88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D116</xm:sqref>
        </x14:conditionalFormatting>
        <x14:conditionalFormatting xmlns:xm="http://schemas.microsoft.com/office/excel/2006/main">
          <x14:cfRule type="expression" priority="11" stopIfTrue="1" id="{02C8D8EA-ECA1-44B5-9176-BDFA9AF8EFA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D89</xm:sqref>
        </x14:conditionalFormatting>
        <x14:conditionalFormatting xmlns:xm="http://schemas.microsoft.com/office/excel/2006/main">
          <x14:cfRule type="expression" priority="10" stopIfTrue="1" id="{A2DC4E39-B8B5-48BA-9330-E0CB836F072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D90</xm:sqref>
        </x14:conditionalFormatting>
        <x14:conditionalFormatting xmlns:xm="http://schemas.microsoft.com/office/excel/2006/main">
          <x14:cfRule type="expression" priority="9" stopIfTrue="1" id="{D63DC7DA-D62B-4112-8FD0-57605E66FCD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D91</xm:sqref>
        </x14:conditionalFormatting>
        <x14:conditionalFormatting xmlns:xm="http://schemas.microsoft.com/office/excel/2006/main">
          <x14:cfRule type="expression" priority="8" stopIfTrue="1" id="{43C35C5C-210B-4693-9FFA-1AD5E3E0A06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D93</xm:sqref>
        </x14:conditionalFormatting>
        <x14:conditionalFormatting xmlns:xm="http://schemas.microsoft.com/office/excel/2006/main">
          <x14:cfRule type="expression" priority="7" stopIfTrue="1" id="{E2A9CEE8-BC03-48BD-8B90-964B796C93F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D94</xm:sqref>
        </x14:conditionalFormatting>
        <x14:conditionalFormatting xmlns:xm="http://schemas.microsoft.com/office/excel/2006/main">
          <x14:cfRule type="expression" priority="6" stopIfTrue="1" id="{905B11A1-7F95-437D-9961-0680664202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D98</xm:sqref>
        </x14:conditionalFormatting>
        <x14:conditionalFormatting xmlns:xm="http://schemas.microsoft.com/office/excel/2006/main">
          <x14:cfRule type="expression" priority="5" stopIfTrue="1" id="{54C0AA6C-C215-46CA-9768-4D5AD4B9372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D99</xm:sqref>
        </x14:conditionalFormatting>
        <x14:conditionalFormatting xmlns:xm="http://schemas.microsoft.com/office/excel/2006/main">
          <x14:cfRule type="expression" priority="4" stopIfTrue="1" id="{237A80DE-FE65-47E7-9228-D89FBDFF95D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expression" priority="3" stopIfTrue="1" id="{7796FF7A-6F2D-4D67-9F29-03474D53290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D113</xm:sqref>
        </x14:conditionalFormatting>
        <x14:conditionalFormatting xmlns:xm="http://schemas.microsoft.com/office/excel/2006/main">
          <x14:cfRule type="expression" priority="2" stopIfTrue="1" id="{95C50318-11B9-4ED7-91E7-D25CABBB2FA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D114</xm:sqref>
        </x14:conditionalFormatting>
        <x14:conditionalFormatting xmlns:xm="http://schemas.microsoft.com/office/excel/2006/main">
          <x14:cfRule type="expression" priority="1" stopIfTrue="1" id="{933105ED-7254-4FEE-B998-1FDEA0AECAF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T172"/>
  <sheetViews>
    <sheetView view="pageBreakPreview" topLeftCell="N1" zoomScale="80" zoomScaleNormal="70" zoomScaleSheetLayoutView="80" workbookViewId="0">
      <selection activeCell="W3" sqref="W3"/>
    </sheetView>
  </sheetViews>
  <sheetFormatPr defaultColWidth="9.140625" defaultRowHeight="18.75" x14ac:dyDescent="0.3"/>
  <cols>
    <col min="1" max="1" width="6.85546875" style="22" customWidth="1"/>
    <col min="2" max="2" width="8.7109375" style="23" customWidth="1"/>
    <col min="3" max="3" width="12.140625" style="24" customWidth="1"/>
    <col min="4" max="4" width="11.85546875" style="24" customWidth="1"/>
    <col min="5" max="5" width="20.7109375" style="25" customWidth="1"/>
    <col min="6" max="6" width="6.42578125" style="26" customWidth="1"/>
    <col min="7" max="8" width="4.5703125" style="26" customWidth="1"/>
    <col min="9" max="9" width="18.85546875" style="27" customWidth="1"/>
    <col min="10" max="11" width="17" style="27" customWidth="1"/>
    <col min="12" max="12" width="17.5703125" style="27" customWidth="1"/>
    <col min="13" max="13" width="17.7109375" style="27" customWidth="1"/>
    <col min="14" max="14" width="8" style="27" customWidth="1"/>
    <col min="15" max="15" width="17.28515625" style="27" customWidth="1"/>
    <col min="16" max="16" width="5.5703125" style="27" customWidth="1"/>
    <col min="17" max="17" width="18.7109375" style="27" customWidth="1"/>
    <col min="18" max="18" width="13.7109375" style="27" customWidth="1"/>
    <col min="19" max="19" width="18.85546875" style="27" customWidth="1"/>
    <col min="20" max="20" width="7" style="27" customWidth="1"/>
    <col min="21" max="21" width="6.7109375" style="27" customWidth="1"/>
    <col min="22" max="22" width="11" style="27" customWidth="1"/>
    <col min="23" max="23" width="17.7109375" style="27" customWidth="1"/>
    <col min="24" max="24" width="12.140625" style="27" customWidth="1"/>
    <col min="25" max="25" width="15.5703125" style="27" customWidth="1"/>
    <col min="26" max="26" width="7" style="27" customWidth="1"/>
    <col min="27" max="27" width="6.140625" style="27" customWidth="1"/>
    <col min="28" max="28" width="7" style="27" customWidth="1"/>
    <col min="29" max="29" width="7.28515625" style="27" customWidth="1"/>
    <col min="30" max="30" width="8" style="27" customWidth="1"/>
    <col min="31" max="31" width="8.7109375" style="27" customWidth="1"/>
    <col min="32" max="34" width="7" style="27" customWidth="1"/>
    <col min="35" max="35" width="11.7109375" style="27" customWidth="1"/>
    <col min="36" max="43" width="7" style="27" customWidth="1"/>
    <col min="44" max="44" width="15.85546875" style="27" customWidth="1"/>
    <col min="45" max="45" width="16.28515625" style="27" customWidth="1"/>
    <col min="46" max="46" width="9.140625" style="27"/>
    <col min="47" max="47" width="15.28515625" style="27" bestFit="1" customWidth="1"/>
    <col min="48" max="48" width="15.28515625" style="27" customWidth="1"/>
    <col min="49" max="16384" width="9.140625" style="27"/>
  </cols>
  <sheetData>
    <row r="1" spans="1:45" ht="28.15" customHeight="1" x14ac:dyDescent="0.3">
      <c r="J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506"/>
      <c r="X1" s="506"/>
      <c r="Y1" s="506"/>
      <c r="Z1" s="506"/>
      <c r="AA1" s="506"/>
      <c r="AB1" s="506"/>
      <c r="AC1" s="506"/>
      <c r="AD1" s="506"/>
      <c r="AE1" s="506"/>
      <c r="AF1" s="28"/>
      <c r="AG1" s="28"/>
      <c r="AH1" s="506" t="s">
        <v>98</v>
      </c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</row>
    <row r="2" spans="1:45" ht="45.95" customHeight="1" x14ac:dyDescent="0.3">
      <c r="J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27"/>
      <c r="X2" s="227"/>
      <c r="Y2" s="227"/>
      <c r="Z2" s="227"/>
      <c r="AA2" s="227"/>
      <c r="AB2" s="227"/>
      <c r="AC2" s="227"/>
      <c r="AD2" s="227"/>
      <c r="AE2" s="227"/>
      <c r="AF2" s="28"/>
      <c r="AG2" s="28"/>
      <c r="AH2" s="227"/>
      <c r="AI2" s="227"/>
      <c r="AJ2" s="227"/>
      <c r="AK2" s="227"/>
      <c r="AL2" s="227"/>
      <c r="AM2" s="227"/>
      <c r="AN2" s="227"/>
      <c r="AO2" s="506" t="s">
        <v>99</v>
      </c>
      <c r="AP2" s="506"/>
      <c r="AQ2" s="506"/>
      <c r="AR2" s="506"/>
      <c r="AS2" s="506"/>
    </row>
    <row r="3" spans="1:45" ht="61.5" customHeight="1" x14ac:dyDescent="0.3">
      <c r="J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27"/>
      <c r="X3" s="227"/>
      <c r="Y3" s="227"/>
      <c r="Z3" s="227"/>
      <c r="AA3" s="227"/>
      <c r="AB3" s="227"/>
      <c r="AC3" s="227"/>
      <c r="AD3" s="227"/>
      <c r="AE3" s="227"/>
      <c r="AF3" s="28"/>
      <c r="AG3" s="28"/>
      <c r="AH3" s="227"/>
      <c r="AI3" s="227"/>
      <c r="AJ3" s="370"/>
      <c r="AK3" s="227"/>
      <c r="AL3" s="227"/>
      <c r="AM3" s="506" t="s">
        <v>166</v>
      </c>
      <c r="AN3" s="506"/>
      <c r="AO3" s="506"/>
      <c r="AP3" s="506"/>
      <c r="AQ3" s="506"/>
      <c r="AR3" s="506"/>
      <c r="AS3" s="506"/>
    </row>
    <row r="4" spans="1:45" ht="52.35" customHeight="1" x14ac:dyDescent="0.3">
      <c r="J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27"/>
      <c r="X4" s="227"/>
      <c r="Y4" s="227"/>
      <c r="Z4" s="227"/>
      <c r="AA4" s="227"/>
      <c r="AB4" s="227"/>
      <c r="AC4" s="227"/>
      <c r="AD4" s="227"/>
      <c r="AE4" s="227"/>
      <c r="AF4" s="28"/>
      <c r="AG4" s="28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</row>
    <row r="5" spans="1:45" ht="57" customHeight="1" x14ac:dyDescent="0.3">
      <c r="A5" s="508" t="s">
        <v>126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9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</row>
    <row r="6" spans="1:45" ht="34.5" customHeight="1" x14ac:dyDescent="0.3">
      <c r="A6" s="517" t="s">
        <v>33</v>
      </c>
      <c r="B6" s="510" t="s">
        <v>1</v>
      </c>
      <c r="C6" s="510"/>
      <c r="D6" s="510"/>
      <c r="E6" s="510"/>
      <c r="F6" s="510"/>
      <c r="G6" s="510"/>
      <c r="H6" s="510"/>
      <c r="I6" s="510" t="s">
        <v>34</v>
      </c>
      <c r="J6" s="510" t="s">
        <v>35</v>
      </c>
      <c r="K6" s="510"/>
      <c r="L6" s="510"/>
      <c r="M6" s="510"/>
      <c r="N6" s="510"/>
      <c r="O6" s="510"/>
      <c r="P6" s="507" t="s">
        <v>36</v>
      </c>
      <c r="Q6" s="507"/>
      <c r="R6" s="507" t="s">
        <v>37</v>
      </c>
      <c r="S6" s="507"/>
      <c r="T6" s="507" t="s">
        <v>38</v>
      </c>
      <c r="U6" s="507"/>
      <c r="V6" s="507" t="s">
        <v>39</v>
      </c>
      <c r="W6" s="507"/>
      <c r="X6" s="518" t="s">
        <v>40</v>
      </c>
      <c r="Y6" s="519"/>
      <c r="Z6" s="507" t="s">
        <v>41</v>
      </c>
      <c r="AA6" s="507"/>
      <c r="AB6" s="507" t="s">
        <v>42</v>
      </c>
      <c r="AC6" s="507"/>
      <c r="AD6" s="507" t="s">
        <v>43</v>
      </c>
      <c r="AE6" s="507"/>
      <c r="AF6" s="507" t="s">
        <v>44</v>
      </c>
      <c r="AG6" s="507"/>
      <c r="AH6" s="510" t="s">
        <v>45</v>
      </c>
      <c r="AI6" s="510"/>
      <c r="AJ6" s="510"/>
      <c r="AK6" s="510"/>
      <c r="AL6" s="510"/>
      <c r="AM6" s="510"/>
      <c r="AN6" s="510"/>
      <c r="AO6" s="510"/>
      <c r="AP6" s="510"/>
      <c r="AQ6" s="510"/>
      <c r="AR6" s="507" t="s">
        <v>46</v>
      </c>
      <c r="AS6" s="507" t="s">
        <v>47</v>
      </c>
    </row>
    <row r="7" spans="1:45" ht="166.15" customHeight="1" x14ac:dyDescent="0.3">
      <c r="A7" s="517"/>
      <c r="B7" s="507" t="s">
        <v>13</v>
      </c>
      <c r="C7" s="507" t="s">
        <v>14</v>
      </c>
      <c r="D7" s="507" t="s">
        <v>15</v>
      </c>
      <c r="E7" s="507" t="s">
        <v>16</v>
      </c>
      <c r="F7" s="507" t="s">
        <v>17</v>
      </c>
      <c r="G7" s="507" t="s">
        <v>18</v>
      </c>
      <c r="H7" s="507" t="s">
        <v>19</v>
      </c>
      <c r="I7" s="510"/>
      <c r="J7" s="228" t="s">
        <v>48</v>
      </c>
      <c r="K7" s="228" t="s">
        <v>49</v>
      </c>
      <c r="L7" s="228" t="s">
        <v>50</v>
      </c>
      <c r="M7" s="228" t="s">
        <v>51</v>
      </c>
      <c r="N7" s="228" t="s">
        <v>52</v>
      </c>
      <c r="O7" s="228" t="s">
        <v>53</v>
      </c>
      <c r="P7" s="507"/>
      <c r="Q7" s="507"/>
      <c r="R7" s="507"/>
      <c r="S7" s="507"/>
      <c r="T7" s="507"/>
      <c r="U7" s="507"/>
      <c r="V7" s="507"/>
      <c r="W7" s="507"/>
      <c r="X7" s="520"/>
      <c r="Y7" s="521"/>
      <c r="Z7" s="507"/>
      <c r="AA7" s="507"/>
      <c r="AB7" s="507"/>
      <c r="AC7" s="507"/>
      <c r="AD7" s="507"/>
      <c r="AE7" s="507"/>
      <c r="AF7" s="507"/>
      <c r="AG7" s="507"/>
      <c r="AH7" s="507" t="s">
        <v>54</v>
      </c>
      <c r="AI7" s="507"/>
      <c r="AJ7" s="507" t="s">
        <v>55</v>
      </c>
      <c r="AK7" s="507"/>
      <c r="AL7" s="507" t="s">
        <v>56</v>
      </c>
      <c r="AM7" s="507"/>
      <c r="AN7" s="507" t="s">
        <v>57</v>
      </c>
      <c r="AO7" s="507"/>
      <c r="AP7" s="507" t="s">
        <v>58</v>
      </c>
      <c r="AQ7" s="507"/>
      <c r="AR7" s="507"/>
      <c r="AS7" s="507"/>
    </row>
    <row r="8" spans="1:45" ht="37.5" x14ac:dyDescent="0.3">
      <c r="A8" s="517"/>
      <c r="B8" s="507"/>
      <c r="C8" s="507"/>
      <c r="D8" s="507"/>
      <c r="E8" s="507"/>
      <c r="F8" s="507"/>
      <c r="G8" s="507"/>
      <c r="H8" s="507"/>
      <c r="I8" s="229" t="s">
        <v>31</v>
      </c>
      <c r="J8" s="229" t="s">
        <v>31</v>
      </c>
      <c r="K8" s="229" t="s">
        <v>31</v>
      </c>
      <c r="L8" s="229" t="s">
        <v>31</v>
      </c>
      <c r="M8" s="229" t="s">
        <v>31</v>
      </c>
      <c r="N8" s="229" t="s">
        <v>31</v>
      </c>
      <c r="O8" s="229" t="s">
        <v>31</v>
      </c>
      <c r="P8" s="29" t="s">
        <v>59</v>
      </c>
      <c r="Q8" s="229" t="s">
        <v>31</v>
      </c>
      <c r="R8" s="229" t="s">
        <v>60</v>
      </c>
      <c r="S8" s="229" t="s">
        <v>31</v>
      </c>
      <c r="T8" s="229" t="s">
        <v>60</v>
      </c>
      <c r="U8" s="29" t="s">
        <v>31</v>
      </c>
      <c r="V8" s="229" t="s">
        <v>60</v>
      </c>
      <c r="W8" s="229" t="s">
        <v>31</v>
      </c>
      <c r="X8" s="229" t="s">
        <v>60</v>
      </c>
      <c r="Y8" s="229" t="s">
        <v>31</v>
      </c>
      <c r="Z8" s="229" t="s">
        <v>61</v>
      </c>
      <c r="AA8" s="29" t="s">
        <v>31</v>
      </c>
      <c r="AB8" s="229" t="s">
        <v>60</v>
      </c>
      <c r="AC8" s="229" t="s">
        <v>31</v>
      </c>
      <c r="AD8" s="229" t="s">
        <v>60</v>
      </c>
      <c r="AE8" s="229" t="s">
        <v>31</v>
      </c>
      <c r="AF8" s="29" t="s">
        <v>59</v>
      </c>
      <c r="AG8" s="229" t="s">
        <v>31</v>
      </c>
      <c r="AH8" s="29" t="s">
        <v>59</v>
      </c>
      <c r="AI8" s="229" t="s">
        <v>31</v>
      </c>
      <c r="AJ8" s="29" t="s">
        <v>59</v>
      </c>
      <c r="AK8" s="229" t="s">
        <v>31</v>
      </c>
      <c r="AL8" s="29" t="s">
        <v>59</v>
      </c>
      <c r="AM8" s="229" t="s">
        <v>31</v>
      </c>
      <c r="AN8" s="29" t="s">
        <v>59</v>
      </c>
      <c r="AO8" s="229" t="s">
        <v>31</v>
      </c>
      <c r="AP8" s="29" t="s">
        <v>59</v>
      </c>
      <c r="AQ8" s="229" t="s">
        <v>31</v>
      </c>
      <c r="AR8" s="229" t="s">
        <v>31</v>
      </c>
      <c r="AS8" s="229" t="s">
        <v>31</v>
      </c>
    </row>
    <row r="9" spans="1:45" s="33" customFormat="1" x14ac:dyDescent="0.3">
      <c r="A9" s="30">
        <v>1</v>
      </c>
      <c r="B9" s="229">
        <v>2</v>
      </c>
      <c r="C9" s="229">
        <v>3</v>
      </c>
      <c r="D9" s="229">
        <v>4</v>
      </c>
      <c r="E9" s="229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14</v>
      </c>
      <c r="O9" s="30">
        <v>15</v>
      </c>
      <c r="P9" s="31">
        <v>16</v>
      </c>
      <c r="Q9" s="30">
        <v>17</v>
      </c>
      <c r="R9" s="30">
        <v>18</v>
      </c>
      <c r="S9" s="30">
        <v>19</v>
      </c>
      <c r="T9" s="30">
        <v>20</v>
      </c>
      <c r="U9" s="32">
        <v>21</v>
      </c>
      <c r="V9" s="30">
        <v>22</v>
      </c>
      <c r="W9" s="30">
        <v>23</v>
      </c>
      <c r="X9" s="30"/>
      <c r="Y9" s="30">
        <v>24</v>
      </c>
      <c r="Z9" s="30">
        <v>25</v>
      </c>
      <c r="AA9" s="32">
        <v>26</v>
      </c>
      <c r="AB9" s="30">
        <v>27</v>
      </c>
      <c r="AC9" s="30">
        <v>28</v>
      </c>
      <c r="AD9" s="30">
        <v>29</v>
      </c>
      <c r="AE9" s="30">
        <v>30</v>
      </c>
      <c r="AF9" s="32">
        <v>31</v>
      </c>
      <c r="AG9" s="30">
        <v>32</v>
      </c>
      <c r="AH9" s="32">
        <v>33</v>
      </c>
      <c r="AI9" s="30">
        <v>34</v>
      </c>
      <c r="AJ9" s="32">
        <v>35</v>
      </c>
      <c r="AK9" s="30">
        <v>36</v>
      </c>
      <c r="AL9" s="32">
        <v>37</v>
      </c>
      <c r="AM9" s="30">
        <v>38</v>
      </c>
      <c r="AN9" s="32">
        <v>39</v>
      </c>
      <c r="AO9" s="30">
        <v>40</v>
      </c>
      <c r="AP9" s="32">
        <v>41</v>
      </c>
      <c r="AQ9" s="30">
        <v>42</v>
      </c>
      <c r="AR9" s="30">
        <v>43</v>
      </c>
      <c r="AS9" s="30">
        <v>44</v>
      </c>
    </row>
    <row r="10" spans="1:45" s="123" customFormat="1" ht="33.4" customHeight="1" x14ac:dyDescent="0.3">
      <c r="A10" s="116" t="s">
        <v>106</v>
      </c>
      <c r="B10" s="117"/>
      <c r="C10" s="118"/>
      <c r="D10" s="118"/>
      <c r="E10" s="118"/>
      <c r="F10" s="119"/>
      <c r="G10" s="119"/>
      <c r="H10" s="119"/>
      <c r="I10" s="120"/>
      <c r="J10" s="120"/>
      <c r="K10" s="120"/>
      <c r="L10" s="120"/>
      <c r="M10" s="120"/>
      <c r="N10" s="120"/>
      <c r="O10" s="120"/>
      <c r="P10" s="121"/>
      <c r="Q10" s="120"/>
      <c r="R10" s="120"/>
      <c r="S10" s="120"/>
      <c r="T10" s="120"/>
      <c r="U10" s="120"/>
      <c r="V10" s="120"/>
      <c r="W10" s="120"/>
      <c r="X10" s="211"/>
      <c r="Y10" s="120"/>
      <c r="Z10" s="120"/>
      <c r="AA10" s="120"/>
      <c r="AB10" s="120"/>
      <c r="AC10" s="120"/>
      <c r="AD10" s="120"/>
      <c r="AE10" s="120"/>
      <c r="AF10" s="121"/>
      <c r="AG10" s="120"/>
      <c r="AH10" s="121"/>
      <c r="AI10" s="120"/>
      <c r="AJ10" s="121"/>
      <c r="AK10" s="120"/>
      <c r="AL10" s="121"/>
      <c r="AM10" s="120"/>
      <c r="AN10" s="121"/>
      <c r="AO10" s="120"/>
      <c r="AP10" s="121"/>
      <c r="AQ10" s="120"/>
      <c r="AR10" s="120"/>
      <c r="AS10" s="122"/>
    </row>
    <row r="11" spans="1:45" s="315" customFormat="1" x14ac:dyDescent="0.3">
      <c r="A11" s="34">
        <v>1</v>
      </c>
      <c r="B11" s="34" t="s">
        <v>70</v>
      </c>
      <c r="C11" s="35" t="s">
        <v>71</v>
      </c>
      <c r="D11" s="35" t="s">
        <v>78</v>
      </c>
      <c r="E11" s="35" t="s">
        <v>79</v>
      </c>
      <c r="F11" s="36">
        <v>10</v>
      </c>
      <c r="G11" s="36"/>
      <c r="H11" s="36"/>
      <c r="I11" s="38">
        <f t="shared" ref="I11:I31" si="0">J11+K11+L11+M11+N11+O11+Q11+S11+U11+W11+Y11+AA11+AC11+AE11+AG11+AI11+AK11+AM11+AO11+AQ11+AR11</f>
        <v>5905018.2299999995</v>
      </c>
      <c r="J11" s="38"/>
      <c r="K11" s="38"/>
      <c r="L11" s="38"/>
      <c r="M11" s="38"/>
      <c r="N11" s="38"/>
      <c r="O11" s="38"/>
      <c r="P11" s="43">
        <v>3</v>
      </c>
      <c r="Q11" s="38">
        <f t="shared" ref="Q11:Q22" si="1">1968339.41*P11</f>
        <v>5905018.2299999995</v>
      </c>
      <c r="R11" s="44"/>
      <c r="S11" s="38"/>
      <c r="T11" s="45"/>
      <c r="U11" s="45"/>
      <c r="V11" s="38"/>
      <c r="W11" s="38"/>
      <c r="X11" s="38"/>
      <c r="Y11" s="38"/>
      <c r="Z11" s="45"/>
      <c r="AA11" s="45"/>
      <c r="AB11" s="38"/>
      <c r="AC11" s="38"/>
      <c r="AD11" s="38"/>
      <c r="AE11" s="38"/>
      <c r="AF11" s="39"/>
      <c r="AG11" s="38"/>
      <c r="AH11" s="39"/>
      <c r="AI11" s="38"/>
      <c r="AJ11" s="39"/>
      <c r="AK11" s="38"/>
      <c r="AL11" s="39"/>
      <c r="AM11" s="38"/>
      <c r="AN11" s="39"/>
      <c r="AO11" s="38"/>
      <c r="AP11" s="39"/>
      <c r="AQ11" s="38"/>
      <c r="AR11" s="37">
        <v>0</v>
      </c>
      <c r="AS11" s="38"/>
    </row>
    <row r="12" spans="1:45" s="315" customFormat="1" x14ac:dyDescent="0.3">
      <c r="A12" s="34">
        <v>2</v>
      </c>
      <c r="B12" s="34" t="s">
        <v>70</v>
      </c>
      <c r="C12" s="35" t="s">
        <v>71</v>
      </c>
      <c r="D12" s="35" t="s">
        <v>78</v>
      </c>
      <c r="E12" s="35" t="s">
        <v>81</v>
      </c>
      <c r="F12" s="36">
        <v>19</v>
      </c>
      <c r="G12" s="36"/>
      <c r="H12" s="36"/>
      <c r="I12" s="38">
        <f t="shared" si="0"/>
        <v>11810036.459999999</v>
      </c>
      <c r="J12" s="38"/>
      <c r="K12" s="38"/>
      <c r="L12" s="38"/>
      <c r="M12" s="38"/>
      <c r="N12" s="38"/>
      <c r="O12" s="38"/>
      <c r="P12" s="43">
        <v>6</v>
      </c>
      <c r="Q12" s="38">
        <f t="shared" si="1"/>
        <v>11810036.459999999</v>
      </c>
      <c r="R12" s="44"/>
      <c r="S12" s="38"/>
      <c r="T12" s="45"/>
      <c r="U12" s="45"/>
      <c r="V12" s="38"/>
      <c r="W12" s="38"/>
      <c r="X12" s="38"/>
      <c r="Y12" s="38"/>
      <c r="Z12" s="45"/>
      <c r="AA12" s="45"/>
      <c r="AB12" s="38"/>
      <c r="AC12" s="38"/>
      <c r="AD12" s="38"/>
      <c r="AE12" s="38"/>
      <c r="AF12" s="39"/>
      <c r="AG12" s="38"/>
      <c r="AH12" s="39"/>
      <c r="AI12" s="38"/>
      <c r="AJ12" s="39"/>
      <c r="AK12" s="38"/>
      <c r="AL12" s="39"/>
      <c r="AM12" s="38"/>
      <c r="AN12" s="39"/>
      <c r="AO12" s="38"/>
      <c r="AP12" s="39"/>
      <c r="AQ12" s="38"/>
      <c r="AR12" s="37">
        <v>0</v>
      </c>
      <c r="AS12" s="38"/>
    </row>
    <row r="13" spans="1:45" s="315" customFormat="1" x14ac:dyDescent="0.3">
      <c r="A13" s="34">
        <v>3</v>
      </c>
      <c r="B13" s="34" t="s">
        <v>70</v>
      </c>
      <c r="C13" s="35" t="s">
        <v>71</v>
      </c>
      <c r="D13" s="35" t="s">
        <v>78</v>
      </c>
      <c r="E13" s="35" t="s">
        <v>82</v>
      </c>
      <c r="F13" s="36">
        <v>16</v>
      </c>
      <c r="G13" s="36"/>
      <c r="H13" s="36"/>
      <c r="I13" s="38">
        <f t="shared" si="0"/>
        <v>3936678.82</v>
      </c>
      <c r="J13" s="38"/>
      <c r="K13" s="38"/>
      <c r="L13" s="38"/>
      <c r="M13" s="38"/>
      <c r="N13" s="38"/>
      <c r="O13" s="38"/>
      <c r="P13" s="43">
        <v>2</v>
      </c>
      <c r="Q13" s="38">
        <f t="shared" si="1"/>
        <v>3936678.82</v>
      </c>
      <c r="R13" s="44"/>
      <c r="S13" s="38"/>
      <c r="T13" s="45"/>
      <c r="U13" s="45"/>
      <c r="V13" s="38"/>
      <c r="W13" s="38"/>
      <c r="X13" s="38"/>
      <c r="Y13" s="38"/>
      <c r="Z13" s="45"/>
      <c r="AA13" s="45"/>
      <c r="AB13" s="38"/>
      <c r="AC13" s="38"/>
      <c r="AD13" s="38"/>
      <c r="AE13" s="38"/>
      <c r="AF13" s="39"/>
      <c r="AG13" s="38"/>
      <c r="AH13" s="39"/>
      <c r="AI13" s="38"/>
      <c r="AJ13" s="39"/>
      <c r="AK13" s="38"/>
      <c r="AL13" s="39"/>
      <c r="AM13" s="38"/>
      <c r="AN13" s="39"/>
      <c r="AO13" s="38"/>
      <c r="AP13" s="39"/>
      <c r="AQ13" s="38"/>
      <c r="AR13" s="37">
        <v>0</v>
      </c>
      <c r="AS13" s="38"/>
    </row>
    <row r="14" spans="1:45" s="315" customFormat="1" x14ac:dyDescent="0.3">
      <c r="A14" s="34">
        <v>4</v>
      </c>
      <c r="B14" s="34" t="s">
        <v>70</v>
      </c>
      <c r="C14" s="35" t="s">
        <v>71</v>
      </c>
      <c r="D14" s="35" t="s">
        <v>78</v>
      </c>
      <c r="E14" s="35" t="s">
        <v>82</v>
      </c>
      <c r="F14" s="36">
        <v>44</v>
      </c>
      <c r="G14" s="36"/>
      <c r="H14" s="36"/>
      <c r="I14" s="38">
        <f t="shared" si="0"/>
        <v>7873357.6399999997</v>
      </c>
      <c r="J14" s="38"/>
      <c r="K14" s="38"/>
      <c r="L14" s="38"/>
      <c r="M14" s="38"/>
      <c r="N14" s="38"/>
      <c r="O14" s="38"/>
      <c r="P14" s="43">
        <v>4</v>
      </c>
      <c r="Q14" s="38">
        <f t="shared" si="1"/>
        <v>7873357.6399999997</v>
      </c>
      <c r="R14" s="44"/>
      <c r="S14" s="38"/>
      <c r="T14" s="45"/>
      <c r="U14" s="45"/>
      <c r="V14" s="38"/>
      <c r="W14" s="38"/>
      <c r="X14" s="38"/>
      <c r="Y14" s="38"/>
      <c r="Z14" s="45"/>
      <c r="AA14" s="45"/>
      <c r="AB14" s="38"/>
      <c r="AC14" s="38"/>
      <c r="AD14" s="38"/>
      <c r="AE14" s="38"/>
      <c r="AF14" s="39"/>
      <c r="AG14" s="38"/>
      <c r="AH14" s="39"/>
      <c r="AI14" s="38"/>
      <c r="AJ14" s="39"/>
      <c r="AK14" s="38"/>
      <c r="AL14" s="39"/>
      <c r="AM14" s="38"/>
      <c r="AN14" s="39"/>
      <c r="AO14" s="38"/>
      <c r="AP14" s="39"/>
      <c r="AQ14" s="38"/>
      <c r="AR14" s="37">
        <v>0</v>
      </c>
      <c r="AS14" s="38"/>
    </row>
    <row r="15" spans="1:45" s="315" customFormat="1" x14ac:dyDescent="0.3">
      <c r="A15" s="34">
        <v>5</v>
      </c>
      <c r="B15" s="34" t="s">
        <v>70</v>
      </c>
      <c r="C15" s="35" t="s">
        <v>71</v>
      </c>
      <c r="D15" s="35" t="s">
        <v>78</v>
      </c>
      <c r="E15" s="35" t="s">
        <v>85</v>
      </c>
      <c r="F15" s="36">
        <v>15</v>
      </c>
      <c r="G15" s="36"/>
      <c r="H15" s="36"/>
      <c r="I15" s="38">
        <f t="shared" si="0"/>
        <v>5905018.2299999995</v>
      </c>
      <c r="J15" s="38"/>
      <c r="K15" s="38"/>
      <c r="L15" s="38"/>
      <c r="M15" s="38"/>
      <c r="N15" s="38"/>
      <c r="O15" s="38"/>
      <c r="P15" s="43">
        <v>3</v>
      </c>
      <c r="Q15" s="38">
        <f t="shared" si="1"/>
        <v>5905018.2299999995</v>
      </c>
      <c r="R15" s="44"/>
      <c r="S15" s="38"/>
      <c r="T15" s="45"/>
      <c r="U15" s="45"/>
      <c r="V15" s="38"/>
      <c r="W15" s="38"/>
      <c r="X15" s="38"/>
      <c r="Y15" s="38"/>
      <c r="Z15" s="45"/>
      <c r="AA15" s="45"/>
      <c r="AB15" s="38"/>
      <c r="AC15" s="38"/>
      <c r="AD15" s="38"/>
      <c r="AE15" s="38"/>
      <c r="AF15" s="39"/>
      <c r="AG15" s="38"/>
      <c r="AH15" s="39"/>
      <c r="AI15" s="38"/>
      <c r="AJ15" s="39"/>
      <c r="AK15" s="38"/>
      <c r="AL15" s="39"/>
      <c r="AM15" s="38"/>
      <c r="AN15" s="39"/>
      <c r="AO15" s="38"/>
      <c r="AP15" s="39"/>
      <c r="AQ15" s="38"/>
      <c r="AR15" s="37">
        <v>0</v>
      </c>
      <c r="AS15" s="38"/>
    </row>
    <row r="16" spans="1:45" s="315" customFormat="1" x14ac:dyDescent="0.3">
      <c r="A16" s="34">
        <v>6</v>
      </c>
      <c r="B16" s="34" t="s">
        <v>70</v>
      </c>
      <c r="C16" s="35" t="s">
        <v>71</v>
      </c>
      <c r="D16" s="35" t="s">
        <v>72</v>
      </c>
      <c r="E16" s="35" t="s">
        <v>73</v>
      </c>
      <c r="F16" s="36">
        <v>168</v>
      </c>
      <c r="G16" s="36"/>
      <c r="H16" s="36"/>
      <c r="I16" s="38">
        <f t="shared" si="0"/>
        <v>5905018.2299999995</v>
      </c>
      <c r="J16" s="38"/>
      <c r="K16" s="38"/>
      <c r="L16" s="38"/>
      <c r="M16" s="38"/>
      <c r="N16" s="38"/>
      <c r="O16" s="38"/>
      <c r="P16" s="43">
        <v>3</v>
      </c>
      <c r="Q16" s="38">
        <f t="shared" si="1"/>
        <v>5905018.2299999995</v>
      </c>
      <c r="R16" s="44"/>
      <c r="S16" s="38"/>
      <c r="T16" s="45"/>
      <c r="U16" s="45"/>
      <c r="V16" s="38"/>
      <c r="W16" s="38"/>
      <c r="X16" s="38"/>
      <c r="Y16" s="38"/>
      <c r="Z16" s="45"/>
      <c r="AA16" s="45"/>
      <c r="AB16" s="38"/>
      <c r="AC16" s="38"/>
      <c r="AD16" s="38"/>
      <c r="AE16" s="38"/>
      <c r="AF16" s="39"/>
      <c r="AG16" s="38"/>
      <c r="AH16" s="39"/>
      <c r="AI16" s="38"/>
      <c r="AJ16" s="39"/>
      <c r="AK16" s="38"/>
      <c r="AL16" s="39"/>
      <c r="AM16" s="38"/>
      <c r="AN16" s="39"/>
      <c r="AO16" s="38"/>
      <c r="AP16" s="39"/>
      <c r="AQ16" s="38"/>
      <c r="AR16" s="37">
        <v>0</v>
      </c>
      <c r="AS16" s="38"/>
    </row>
    <row r="17" spans="1:45" s="315" customFormat="1" x14ac:dyDescent="0.3">
      <c r="A17" s="34">
        <v>7</v>
      </c>
      <c r="B17" s="34" t="s">
        <v>70</v>
      </c>
      <c r="C17" s="35" t="s">
        <v>71</v>
      </c>
      <c r="D17" s="35" t="s">
        <v>72</v>
      </c>
      <c r="E17" s="35" t="s">
        <v>73</v>
      </c>
      <c r="F17" s="36">
        <v>130</v>
      </c>
      <c r="G17" s="36"/>
      <c r="H17" s="36"/>
      <c r="I17" s="38">
        <f t="shared" si="0"/>
        <v>3936678.82</v>
      </c>
      <c r="J17" s="38"/>
      <c r="K17" s="38"/>
      <c r="L17" s="38"/>
      <c r="M17" s="38"/>
      <c r="N17" s="38"/>
      <c r="O17" s="38"/>
      <c r="P17" s="43">
        <v>2</v>
      </c>
      <c r="Q17" s="38">
        <f t="shared" si="1"/>
        <v>3936678.82</v>
      </c>
      <c r="R17" s="44"/>
      <c r="S17" s="38"/>
      <c r="T17" s="45"/>
      <c r="U17" s="45"/>
      <c r="V17" s="38"/>
      <c r="W17" s="38"/>
      <c r="X17" s="38"/>
      <c r="Y17" s="38"/>
      <c r="Z17" s="45"/>
      <c r="AA17" s="45"/>
      <c r="AB17" s="38"/>
      <c r="AC17" s="38"/>
      <c r="AD17" s="38"/>
      <c r="AE17" s="38"/>
      <c r="AF17" s="39"/>
      <c r="AG17" s="38"/>
      <c r="AH17" s="39"/>
      <c r="AI17" s="38"/>
      <c r="AJ17" s="39"/>
      <c r="AK17" s="38"/>
      <c r="AL17" s="39"/>
      <c r="AM17" s="38"/>
      <c r="AN17" s="39"/>
      <c r="AO17" s="38"/>
      <c r="AP17" s="39"/>
      <c r="AQ17" s="38"/>
      <c r="AR17" s="37">
        <v>0</v>
      </c>
      <c r="AS17" s="38"/>
    </row>
    <row r="18" spans="1:45" s="315" customFormat="1" x14ac:dyDescent="0.3">
      <c r="A18" s="34">
        <v>8</v>
      </c>
      <c r="B18" s="34" t="s">
        <v>70</v>
      </c>
      <c r="C18" s="35" t="s">
        <v>71</v>
      </c>
      <c r="D18" s="35" t="s">
        <v>72</v>
      </c>
      <c r="E18" s="35" t="s">
        <v>76</v>
      </c>
      <c r="F18" s="36">
        <v>57</v>
      </c>
      <c r="G18" s="36"/>
      <c r="H18" s="36"/>
      <c r="I18" s="38">
        <f t="shared" si="0"/>
        <v>3936678.82</v>
      </c>
      <c r="J18" s="38"/>
      <c r="K18" s="38"/>
      <c r="L18" s="38"/>
      <c r="M18" s="38"/>
      <c r="N18" s="38"/>
      <c r="O18" s="38"/>
      <c r="P18" s="43">
        <v>2</v>
      </c>
      <c r="Q18" s="38">
        <f t="shared" si="1"/>
        <v>3936678.82</v>
      </c>
      <c r="R18" s="44"/>
      <c r="S18" s="38"/>
      <c r="T18" s="45"/>
      <c r="U18" s="45"/>
      <c r="V18" s="38"/>
      <c r="W18" s="38"/>
      <c r="X18" s="38"/>
      <c r="Y18" s="38"/>
      <c r="Z18" s="45"/>
      <c r="AA18" s="45"/>
      <c r="AB18" s="38"/>
      <c r="AC18" s="38"/>
      <c r="AD18" s="38"/>
      <c r="AE18" s="38"/>
      <c r="AF18" s="39"/>
      <c r="AG18" s="38"/>
      <c r="AH18" s="39"/>
      <c r="AI18" s="38"/>
      <c r="AJ18" s="39"/>
      <c r="AK18" s="38"/>
      <c r="AL18" s="39"/>
      <c r="AM18" s="38"/>
      <c r="AN18" s="39"/>
      <c r="AO18" s="38"/>
      <c r="AP18" s="39"/>
      <c r="AQ18" s="38"/>
      <c r="AR18" s="37">
        <v>0</v>
      </c>
      <c r="AS18" s="38"/>
    </row>
    <row r="19" spans="1:45" s="315" customFormat="1" x14ac:dyDescent="0.3">
      <c r="A19" s="34">
        <v>9</v>
      </c>
      <c r="B19" s="34" t="s">
        <v>70</v>
      </c>
      <c r="C19" s="35" t="s">
        <v>71</v>
      </c>
      <c r="D19" s="35" t="s">
        <v>80</v>
      </c>
      <c r="E19" s="34" t="s">
        <v>91</v>
      </c>
      <c r="F19" s="36">
        <v>7</v>
      </c>
      <c r="G19" s="36"/>
      <c r="H19" s="36"/>
      <c r="I19" s="38">
        <f t="shared" si="0"/>
        <v>7873357.6399999997</v>
      </c>
      <c r="J19" s="38"/>
      <c r="K19" s="38"/>
      <c r="L19" s="38"/>
      <c r="M19" s="38"/>
      <c r="N19" s="38"/>
      <c r="O19" s="38"/>
      <c r="P19" s="43">
        <v>4</v>
      </c>
      <c r="Q19" s="38">
        <f t="shared" si="1"/>
        <v>7873357.6399999997</v>
      </c>
      <c r="R19" s="44"/>
      <c r="S19" s="38"/>
      <c r="T19" s="45"/>
      <c r="U19" s="45"/>
      <c r="V19" s="38"/>
      <c r="W19" s="38"/>
      <c r="X19" s="38"/>
      <c r="Y19" s="38"/>
      <c r="Z19" s="45"/>
      <c r="AA19" s="45"/>
      <c r="AB19" s="38"/>
      <c r="AC19" s="38"/>
      <c r="AD19" s="38"/>
      <c r="AE19" s="38"/>
      <c r="AF19" s="39"/>
      <c r="AG19" s="38"/>
      <c r="AH19" s="39"/>
      <c r="AI19" s="38"/>
      <c r="AJ19" s="39"/>
      <c r="AK19" s="38"/>
      <c r="AL19" s="39"/>
      <c r="AM19" s="38"/>
      <c r="AN19" s="39"/>
      <c r="AO19" s="38"/>
      <c r="AP19" s="39"/>
      <c r="AQ19" s="38"/>
      <c r="AR19" s="37">
        <v>0</v>
      </c>
      <c r="AS19" s="38"/>
    </row>
    <row r="20" spans="1:45" s="315" customFormat="1" x14ac:dyDescent="0.3">
      <c r="A20" s="34">
        <v>10</v>
      </c>
      <c r="B20" s="34" t="s">
        <v>70</v>
      </c>
      <c r="C20" s="34" t="s">
        <v>71</v>
      </c>
      <c r="D20" s="35" t="s">
        <v>80</v>
      </c>
      <c r="E20" s="34" t="s">
        <v>91</v>
      </c>
      <c r="F20" s="49" t="s">
        <v>96</v>
      </c>
      <c r="G20" s="36"/>
      <c r="H20" s="36"/>
      <c r="I20" s="38">
        <f t="shared" si="0"/>
        <v>7873357.6399999997</v>
      </c>
      <c r="J20" s="38"/>
      <c r="K20" s="38"/>
      <c r="L20" s="38"/>
      <c r="M20" s="38"/>
      <c r="N20" s="38"/>
      <c r="O20" s="38"/>
      <c r="P20" s="43">
        <v>4</v>
      </c>
      <c r="Q20" s="38">
        <f t="shared" si="1"/>
        <v>7873357.6399999997</v>
      </c>
      <c r="R20" s="44"/>
      <c r="S20" s="38"/>
      <c r="T20" s="45"/>
      <c r="U20" s="45"/>
      <c r="V20" s="38"/>
      <c r="W20" s="38"/>
      <c r="X20" s="38"/>
      <c r="Y20" s="38"/>
      <c r="Z20" s="45"/>
      <c r="AA20" s="45"/>
      <c r="AB20" s="38"/>
      <c r="AC20" s="38"/>
      <c r="AD20" s="38"/>
      <c r="AE20" s="38"/>
      <c r="AF20" s="39"/>
      <c r="AG20" s="38"/>
      <c r="AH20" s="39"/>
      <c r="AI20" s="38"/>
      <c r="AJ20" s="39"/>
      <c r="AK20" s="38"/>
      <c r="AL20" s="39"/>
      <c r="AM20" s="38"/>
      <c r="AN20" s="39"/>
      <c r="AO20" s="38"/>
      <c r="AP20" s="39"/>
      <c r="AQ20" s="38"/>
      <c r="AR20" s="37">
        <v>0</v>
      </c>
      <c r="AS20" s="38"/>
    </row>
    <row r="21" spans="1:45" s="315" customFormat="1" x14ac:dyDescent="0.3">
      <c r="A21" s="34">
        <v>11</v>
      </c>
      <c r="B21" s="35" t="s">
        <v>70</v>
      </c>
      <c r="C21" s="35" t="s">
        <v>71</v>
      </c>
      <c r="D21" s="35" t="s">
        <v>78</v>
      </c>
      <c r="E21" s="34" t="s">
        <v>102</v>
      </c>
      <c r="F21" s="36">
        <v>1</v>
      </c>
      <c r="G21" s="36"/>
      <c r="H21" s="36"/>
      <c r="I21" s="38">
        <f t="shared" si="0"/>
        <v>1968339.41</v>
      </c>
      <c r="J21" s="38"/>
      <c r="K21" s="38"/>
      <c r="L21" s="38"/>
      <c r="M21" s="38"/>
      <c r="N21" s="38"/>
      <c r="O21" s="38"/>
      <c r="P21" s="43">
        <v>1</v>
      </c>
      <c r="Q21" s="38">
        <f t="shared" si="1"/>
        <v>1968339.41</v>
      </c>
      <c r="R21" s="36"/>
      <c r="S21" s="44"/>
      <c r="T21" s="45"/>
      <c r="U21" s="45"/>
      <c r="V21" s="38"/>
      <c r="W21" s="38"/>
      <c r="X21" s="38"/>
      <c r="Y21" s="38"/>
      <c r="Z21" s="45"/>
      <c r="AA21" s="45"/>
      <c r="AB21" s="38"/>
      <c r="AC21" s="38"/>
      <c r="AD21" s="38"/>
      <c r="AE21" s="38"/>
      <c r="AF21" s="39"/>
      <c r="AG21" s="38"/>
      <c r="AH21" s="39"/>
      <c r="AI21" s="38"/>
      <c r="AJ21" s="39"/>
      <c r="AK21" s="38"/>
      <c r="AL21" s="39"/>
      <c r="AM21" s="38"/>
      <c r="AN21" s="39"/>
      <c r="AO21" s="38"/>
      <c r="AP21" s="39"/>
      <c r="AQ21" s="38"/>
      <c r="AR21" s="37">
        <v>0</v>
      </c>
      <c r="AS21" s="38"/>
    </row>
    <row r="22" spans="1:45" s="315" customFormat="1" x14ac:dyDescent="0.3">
      <c r="A22" s="34">
        <v>12</v>
      </c>
      <c r="B22" s="35" t="s">
        <v>70</v>
      </c>
      <c r="C22" s="35" t="s">
        <v>71</v>
      </c>
      <c r="D22" s="35" t="s">
        <v>72</v>
      </c>
      <c r="E22" s="50" t="s">
        <v>76</v>
      </c>
      <c r="F22" s="51">
        <v>18</v>
      </c>
      <c r="G22" s="51"/>
      <c r="H22" s="51"/>
      <c r="I22" s="38">
        <f t="shared" si="0"/>
        <v>7873357.6399999997</v>
      </c>
      <c r="J22" s="52"/>
      <c r="K22" s="52"/>
      <c r="L22" s="52"/>
      <c r="M22" s="52"/>
      <c r="N22" s="52"/>
      <c r="O22" s="52"/>
      <c r="P22" s="53">
        <v>4</v>
      </c>
      <c r="Q22" s="38">
        <f t="shared" si="1"/>
        <v>7873357.6399999997</v>
      </c>
      <c r="R22" s="51"/>
      <c r="S22" s="54"/>
      <c r="T22" s="55"/>
      <c r="U22" s="55"/>
      <c r="V22" s="52"/>
      <c r="W22" s="52"/>
      <c r="X22" s="212"/>
      <c r="Y22" s="52"/>
      <c r="Z22" s="55"/>
      <c r="AA22" s="55"/>
      <c r="AB22" s="52"/>
      <c r="AC22" s="52"/>
      <c r="AD22" s="52"/>
      <c r="AE22" s="52"/>
      <c r="AF22" s="56"/>
      <c r="AG22" s="52"/>
      <c r="AH22" s="56"/>
      <c r="AI22" s="52"/>
      <c r="AJ22" s="56"/>
      <c r="AK22" s="52"/>
      <c r="AL22" s="56"/>
      <c r="AM22" s="52"/>
      <c r="AN22" s="56"/>
      <c r="AO22" s="52"/>
      <c r="AP22" s="56"/>
      <c r="AQ22" s="52"/>
      <c r="AR22" s="37">
        <v>0</v>
      </c>
      <c r="AS22" s="52"/>
    </row>
    <row r="23" spans="1:45" s="317" customFormat="1" ht="17.649999999999999" customHeight="1" x14ac:dyDescent="0.3">
      <c r="A23" s="34">
        <v>13</v>
      </c>
      <c r="B23" s="34" t="s">
        <v>70</v>
      </c>
      <c r="C23" s="35" t="s">
        <v>71</v>
      </c>
      <c r="D23" s="35" t="s">
        <v>78</v>
      </c>
      <c r="E23" s="35" t="s">
        <v>83</v>
      </c>
      <c r="F23" s="36">
        <v>1</v>
      </c>
      <c r="G23" s="36"/>
      <c r="H23" s="36"/>
      <c r="I23" s="38">
        <f t="shared" si="0"/>
        <v>2779355.5999999996</v>
      </c>
      <c r="J23" s="38"/>
      <c r="K23" s="38"/>
      <c r="L23" s="38"/>
      <c r="M23" s="38"/>
      <c r="N23" s="38"/>
      <c r="O23" s="38"/>
      <c r="P23" s="39"/>
      <c r="Q23" s="38"/>
      <c r="R23" s="316">
        <v>460</v>
      </c>
      <c r="S23" s="316">
        <f>R23*5667.83</f>
        <v>2607201.7999999998</v>
      </c>
      <c r="T23" s="45"/>
      <c r="U23" s="45"/>
      <c r="V23" s="38"/>
      <c r="W23" s="38"/>
      <c r="X23" s="38"/>
      <c r="Y23" s="38"/>
      <c r="Z23" s="45"/>
      <c r="AA23" s="45"/>
      <c r="AB23" s="38"/>
      <c r="AC23" s="38"/>
      <c r="AD23" s="38"/>
      <c r="AE23" s="38"/>
      <c r="AF23" s="39"/>
      <c r="AG23" s="38"/>
      <c r="AH23" s="39"/>
      <c r="AI23" s="38"/>
      <c r="AJ23" s="39"/>
      <c r="AK23" s="38"/>
      <c r="AL23" s="39"/>
      <c r="AM23" s="38"/>
      <c r="AN23" s="39"/>
      <c r="AO23" s="38"/>
      <c r="AP23" s="39"/>
      <c r="AQ23" s="38"/>
      <c r="AR23" s="38">
        <v>172153.8</v>
      </c>
      <c r="AS23" s="38"/>
    </row>
    <row r="24" spans="1:45" s="315" customFormat="1" x14ac:dyDescent="0.3">
      <c r="A24" s="34">
        <v>14</v>
      </c>
      <c r="B24" s="347" t="s">
        <v>70</v>
      </c>
      <c r="C24" s="347" t="s">
        <v>71</v>
      </c>
      <c r="D24" s="348" t="s">
        <v>78</v>
      </c>
      <c r="E24" s="347" t="s">
        <v>95</v>
      </c>
      <c r="F24" s="349">
        <v>4</v>
      </c>
      <c r="G24" s="349"/>
      <c r="H24" s="349"/>
      <c r="I24" s="350">
        <f t="shared" si="0"/>
        <v>2034750.97</v>
      </c>
      <c r="J24" s="350"/>
      <c r="K24" s="350"/>
      <c r="L24" s="350"/>
      <c r="M24" s="350"/>
      <c r="N24" s="350"/>
      <c r="O24" s="350"/>
      <c r="P24" s="351"/>
      <c r="Q24" s="350"/>
      <c r="R24" s="352">
        <v>359</v>
      </c>
      <c r="S24" s="352">
        <f>R24*5667.83</f>
        <v>2034750.97</v>
      </c>
      <c r="T24" s="353"/>
      <c r="U24" s="353"/>
      <c r="V24" s="350"/>
      <c r="W24" s="350"/>
      <c r="X24" s="350"/>
      <c r="Y24" s="350"/>
      <c r="Z24" s="353"/>
      <c r="AA24" s="353"/>
      <c r="AB24" s="350"/>
      <c r="AC24" s="350"/>
      <c r="AD24" s="350"/>
      <c r="AE24" s="350"/>
      <c r="AF24" s="351"/>
      <c r="AG24" s="350"/>
      <c r="AH24" s="351"/>
      <c r="AI24" s="350"/>
      <c r="AJ24" s="351"/>
      <c r="AK24" s="350"/>
      <c r="AL24" s="351"/>
      <c r="AM24" s="350"/>
      <c r="AN24" s="351"/>
      <c r="AO24" s="350"/>
      <c r="AP24" s="351"/>
      <c r="AQ24" s="350"/>
      <c r="AR24" s="350">
        <v>0</v>
      </c>
      <c r="AS24" s="350"/>
    </row>
    <row r="25" spans="1:45" s="315" customFormat="1" x14ac:dyDescent="0.3">
      <c r="A25" s="34">
        <v>15</v>
      </c>
      <c r="B25" s="34" t="s">
        <v>70</v>
      </c>
      <c r="C25" s="34" t="s">
        <v>71</v>
      </c>
      <c r="D25" s="35" t="s">
        <v>78</v>
      </c>
      <c r="E25" s="34" t="s">
        <v>95</v>
      </c>
      <c r="F25" s="36">
        <v>5</v>
      </c>
      <c r="G25" s="36"/>
      <c r="H25" s="36"/>
      <c r="I25" s="38">
        <f t="shared" si="0"/>
        <v>2023415.31</v>
      </c>
      <c r="J25" s="38"/>
      <c r="K25" s="38"/>
      <c r="L25" s="38"/>
      <c r="M25" s="38"/>
      <c r="N25" s="38"/>
      <c r="O25" s="38"/>
      <c r="P25" s="39"/>
      <c r="Q25" s="38"/>
      <c r="R25" s="44">
        <v>357</v>
      </c>
      <c r="S25" s="44">
        <f>R25*5667.83</f>
        <v>2023415.31</v>
      </c>
      <c r="T25" s="45"/>
      <c r="U25" s="45"/>
      <c r="V25" s="38"/>
      <c r="W25" s="38"/>
      <c r="X25" s="38"/>
      <c r="Y25" s="38"/>
      <c r="Z25" s="45"/>
      <c r="AA25" s="45"/>
      <c r="AB25" s="38"/>
      <c r="AC25" s="38"/>
      <c r="AD25" s="38"/>
      <c r="AE25" s="38"/>
      <c r="AF25" s="39"/>
      <c r="AG25" s="38"/>
      <c r="AH25" s="39"/>
      <c r="AI25" s="38"/>
      <c r="AJ25" s="39"/>
      <c r="AK25" s="38"/>
      <c r="AL25" s="39"/>
      <c r="AM25" s="38"/>
      <c r="AN25" s="39"/>
      <c r="AO25" s="38"/>
      <c r="AP25" s="39"/>
      <c r="AQ25" s="38"/>
      <c r="AR25" s="38">
        <v>0</v>
      </c>
      <c r="AS25" s="38"/>
    </row>
    <row r="26" spans="1:45" s="319" customFormat="1" x14ac:dyDescent="0.3">
      <c r="A26" s="34">
        <v>16</v>
      </c>
      <c r="B26" s="48" t="s">
        <v>70</v>
      </c>
      <c r="C26" s="46" t="s">
        <v>71</v>
      </c>
      <c r="D26" s="46" t="s">
        <v>78</v>
      </c>
      <c r="E26" s="46" t="s">
        <v>94</v>
      </c>
      <c r="F26" s="63" t="s">
        <v>84</v>
      </c>
      <c r="G26" s="47"/>
      <c r="H26" s="47"/>
      <c r="I26" s="62">
        <f t="shared" si="0"/>
        <v>6713035.04</v>
      </c>
      <c r="J26" s="62"/>
      <c r="K26" s="62"/>
      <c r="L26" s="62"/>
      <c r="M26" s="62"/>
      <c r="N26" s="62"/>
      <c r="O26" s="62"/>
      <c r="P26" s="64"/>
      <c r="Q26" s="62"/>
      <c r="R26" s="65"/>
      <c r="S26" s="316"/>
      <c r="T26" s="66"/>
      <c r="U26" s="66"/>
      <c r="V26" s="67">
        <v>1637</v>
      </c>
      <c r="W26" s="62">
        <f>V26*4019.92</f>
        <v>6580609.04</v>
      </c>
      <c r="X26" s="62"/>
      <c r="Y26" s="62"/>
      <c r="Z26" s="66"/>
      <c r="AA26" s="66"/>
      <c r="AB26" s="320"/>
      <c r="AC26" s="62"/>
      <c r="AD26" s="62"/>
      <c r="AE26" s="62"/>
      <c r="AF26" s="64"/>
      <c r="AG26" s="62"/>
      <c r="AH26" s="64"/>
      <c r="AI26" s="62"/>
      <c r="AJ26" s="64"/>
      <c r="AK26" s="62"/>
      <c r="AL26" s="64"/>
      <c r="AM26" s="62"/>
      <c r="AN26" s="64"/>
      <c r="AO26" s="62"/>
      <c r="AP26" s="64"/>
      <c r="AQ26" s="62"/>
      <c r="AR26" s="68">
        <f>132426</f>
        <v>132426</v>
      </c>
      <c r="AS26" s="62"/>
    </row>
    <row r="27" spans="1:45" s="315" customFormat="1" x14ac:dyDescent="0.3">
      <c r="A27" s="34">
        <v>17</v>
      </c>
      <c r="B27" s="34" t="s">
        <v>70</v>
      </c>
      <c r="C27" s="35" t="s">
        <v>71</v>
      </c>
      <c r="D27" s="35" t="s">
        <v>78</v>
      </c>
      <c r="E27" s="35" t="s">
        <v>94</v>
      </c>
      <c r="F27" s="49" t="s">
        <v>103</v>
      </c>
      <c r="G27" s="36"/>
      <c r="H27" s="36"/>
      <c r="I27" s="38">
        <f t="shared" si="0"/>
        <v>12166842.379999999</v>
      </c>
      <c r="J27" s="38"/>
      <c r="K27" s="38"/>
      <c r="L27" s="38"/>
      <c r="M27" s="38"/>
      <c r="N27" s="38"/>
      <c r="O27" s="38"/>
      <c r="P27" s="39"/>
      <c r="Q27" s="38"/>
      <c r="R27" s="44">
        <v>970</v>
      </c>
      <c r="S27" s="44">
        <f>R27*5667.83</f>
        <v>5497795.0999999996</v>
      </c>
      <c r="T27" s="45"/>
      <c r="U27" s="45"/>
      <c r="V27" s="321">
        <v>1659</v>
      </c>
      <c r="W27" s="38">
        <f>V27*4019.92</f>
        <v>6669047.2800000003</v>
      </c>
      <c r="X27" s="38"/>
      <c r="Y27" s="38"/>
      <c r="Z27" s="45"/>
      <c r="AA27" s="45"/>
      <c r="AB27" s="323"/>
      <c r="AC27" s="44"/>
      <c r="AD27" s="38"/>
      <c r="AE27" s="38"/>
      <c r="AF27" s="39"/>
      <c r="AG27" s="38"/>
      <c r="AH27" s="39"/>
      <c r="AI27" s="38"/>
      <c r="AJ27" s="39"/>
      <c r="AK27" s="38"/>
      <c r="AL27" s="39"/>
      <c r="AM27" s="38"/>
      <c r="AN27" s="39"/>
      <c r="AO27" s="38"/>
      <c r="AP27" s="39"/>
      <c r="AQ27" s="38"/>
      <c r="AR27" s="37">
        <v>0</v>
      </c>
      <c r="AS27" s="38"/>
    </row>
    <row r="28" spans="1:45" s="315" customFormat="1" x14ac:dyDescent="0.3">
      <c r="A28" s="34">
        <v>18</v>
      </c>
      <c r="B28" s="34" t="s">
        <v>70</v>
      </c>
      <c r="C28" s="35" t="s">
        <v>71</v>
      </c>
      <c r="D28" s="35" t="s">
        <v>78</v>
      </c>
      <c r="E28" s="35" t="s">
        <v>94</v>
      </c>
      <c r="F28" s="49" t="s">
        <v>104</v>
      </c>
      <c r="G28" s="36"/>
      <c r="H28" s="36"/>
      <c r="I28" s="38">
        <f t="shared" si="0"/>
        <v>11701955.350000001</v>
      </c>
      <c r="J28" s="38"/>
      <c r="K28" s="38"/>
      <c r="L28" s="38"/>
      <c r="M28" s="38"/>
      <c r="N28" s="38"/>
      <c r="O28" s="38"/>
      <c r="P28" s="39"/>
      <c r="Q28" s="38"/>
      <c r="R28" s="44">
        <v>905</v>
      </c>
      <c r="S28" s="44">
        <f>R28*5667.83</f>
        <v>5129386.1500000004</v>
      </c>
      <c r="T28" s="45"/>
      <c r="U28" s="45"/>
      <c r="V28" s="321">
        <v>1635</v>
      </c>
      <c r="W28" s="38">
        <f>V28*4019.92</f>
        <v>6572569.2000000002</v>
      </c>
      <c r="X28" s="38"/>
      <c r="Y28" s="38"/>
      <c r="Z28" s="45"/>
      <c r="AA28" s="45"/>
      <c r="AB28" s="323"/>
      <c r="AC28" s="44"/>
      <c r="AD28" s="38"/>
      <c r="AE28" s="38"/>
      <c r="AF28" s="39"/>
      <c r="AG28" s="38"/>
      <c r="AH28" s="39"/>
      <c r="AI28" s="38"/>
      <c r="AJ28" s="39"/>
      <c r="AK28" s="38"/>
      <c r="AL28" s="39"/>
      <c r="AM28" s="38"/>
      <c r="AN28" s="39"/>
      <c r="AO28" s="38"/>
      <c r="AP28" s="39"/>
      <c r="AQ28" s="38"/>
      <c r="AR28" s="37">
        <v>0</v>
      </c>
      <c r="AS28" s="38"/>
    </row>
    <row r="29" spans="1:45" s="315" customFormat="1" x14ac:dyDescent="0.3">
      <c r="A29" s="34">
        <v>19</v>
      </c>
      <c r="B29" s="50" t="s">
        <v>70</v>
      </c>
      <c r="C29" s="354" t="s">
        <v>71</v>
      </c>
      <c r="D29" s="354" t="s">
        <v>78</v>
      </c>
      <c r="E29" s="354" t="s">
        <v>94</v>
      </c>
      <c r="F29" s="355" t="s">
        <v>105</v>
      </c>
      <c r="G29" s="51"/>
      <c r="H29" s="51"/>
      <c r="I29" s="52">
        <f t="shared" si="0"/>
        <v>6544429.7599999998</v>
      </c>
      <c r="J29" s="52"/>
      <c r="K29" s="52"/>
      <c r="L29" s="52"/>
      <c r="M29" s="52"/>
      <c r="N29" s="52"/>
      <c r="O29" s="52"/>
      <c r="P29" s="56"/>
      <c r="Q29" s="52"/>
      <c r="R29" s="54"/>
      <c r="S29" s="356"/>
      <c r="T29" s="55"/>
      <c r="U29" s="55"/>
      <c r="V29" s="357">
        <v>1628</v>
      </c>
      <c r="W29" s="52">
        <f>V29*4019.92</f>
        <v>6544429.7599999998</v>
      </c>
      <c r="X29" s="212"/>
      <c r="Y29" s="52"/>
      <c r="Z29" s="55"/>
      <c r="AA29" s="55"/>
      <c r="AB29" s="358"/>
      <c r="AC29" s="54"/>
      <c r="AD29" s="52"/>
      <c r="AE29" s="52"/>
      <c r="AF29" s="56"/>
      <c r="AG29" s="52"/>
      <c r="AH29" s="56"/>
      <c r="AI29" s="52"/>
      <c r="AJ29" s="56"/>
      <c r="AK29" s="52"/>
      <c r="AL29" s="56"/>
      <c r="AM29" s="52"/>
      <c r="AN29" s="56"/>
      <c r="AO29" s="52"/>
      <c r="AP29" s="56"/>
      <c r="AQ29" s="52"/>
      <c r="AR29" s="359">
        <v>0</v>
      </c>
      <c r="AS29" s="52"/>
    </row>
    <row r="30" spans="1:45" s="315" customFormat="1" x14ac:dyDescent="0.3">
      <c r="A30" s="34">
        <v>20</v>
      </c>
      <c r="B30" s="34" t="s">
        <v>70</v>
      </c>
      <c r="C30" s="35" t="s">
        <v>71</v>
      </c>
      <c r="D30" s="35" t="s">
        <v>78</v>
      </c>
      <c r="E30" s="35" t="s">
        <v>91</v>
      </c>
      <c r="F30" s="36">
        <v>2</v>
      </c>
      <c r="G30" s="36"/>
      <c r="H30" s="36"/>
      <c r="I30" s="38">
        <f t="shared" si="0"/>
        <v>538600.4</v>
      </c>
      <c r="J30" s="38"/>
      <c r="K30" s="39"/>
      <c r="L30" s="38"/>
      <c r="M30" s="38"/>
      <c r="N30" s="39"/>
      <c r="O30" s="38"/>
      <c r="P30" s="39"/>
      <c r="Q30" s="38"/>
      <c r="R30" s="44"/>
      <c r="S30" s="38"/>
      <c r="T30" s="45"/>
      <c r="U30" s="45"/>
      <c r="V30" s="321"/>
      <c r="W30" s="38"/>
      <c r="X30" s="38"/>
      <c r="Y30" s="322">
        <f>260*2071.54</f>
        <v>538600.4</v>
      </c>
      <c r="Z30" s="45"/>
      <c r="AA30" s="45"/>
      <c r="AB30" s="323"/>
      <c r="AC30" s="44"/>
      <c r="AD30" s="38"/>
      <c r="AE30" s="38"/>
      <c r="AF30" s="39"/>
      <c r="AG30" s="38"/>
      <c r="AH30" s="39"/>
      <c r="AI30" s="38"/>
      <c r="AJ30" s="39"/>
      <c r="AK30" s="38"/>
      <c r="AL30" s="39"/>
      <c r="AM30" s="38"/>
      <c r="AN30" s="39"/>
      <c r="AO30" s="38"/>
      <c r="AP30" s="39"/>
      <c r="AQ30" s="38"/>
      <c r="AR30" s="37">
        <v>0</v>
      </c>
      <c r="AS30" s="38"/>
    </row>
    <row r="31" spans="1:45" s="325" customFormat="1" x14ac:dyDescent="0.3">
      <c r="A31" s="69">
        <v>21</v>
      </c>
      <c r="B31" s="69" t="s">
        <v>70</v>
      </c>
      <c r="C31" s="70" t="s">
        <v>71</v>
      </c>
      <c r="D31" s="70" t="s">
        <v>78</v>
      </c>
      <c r="E31" s="70" t="s">
        <v>82</v>
      </c>
      <c r="F31" s="71">
        <v>42</v>
      </c>
      <c r="G31" s="71"/>
      <c r="H31" s="71"/>
      <c r="I31" s="72">
        <f t="shared" si="0"/>
        <v>352161.8</v>
      </c>
      <c r="J31" s="72"/>
      <c r="K31" s="72"/>
      <c r="L31" s="72"/>
      <c r="M31" s="72"/>
      <c r="N31" s="72"/>
      <c r="O31" s="72"/>
      <c r="P31" s="73"/>
      <c r="Q31" s="72"/>
      <c r="R31" s="74"/>
      <c r="S31" s="72"/>
      <c r="T31" s="75"/>
      <c r="U31" s="75"/>
      <c r="V31" s="72"/>
      <c r="W31" s="72"/>
      <c r="X31" s="212"/>
      <c r="Y31" s="324">
        <f>170*2071.54</f>
        <v>352161.8</v>
      </c>
      <c r="Z31" s="75"/>
      <c r="AA31" s="75"/>
      <c r="AB31" s="72"/>
      <c r="AC31" s="72"/>
      <c r="AD31" s="72"/>
      <c r="AE31" s="72"/>
      <c r="AF31" s="73"/>
      <c r="AG31" s="72"/>
      <c r="AH31" s="73"/>
      <c r="AI31" s="72"/>
      <c r="AJ31" s="73"/>
      <c r="AK31" s="72"/>
      <c r="AL31" s="73"/>
      <c r="AM31" s="72"/>
      <c r="AN31" s="73"/>
      <c r="AO31" s="72"/>
      <c r="AP31" s="73"/>
      <c r="AQ31" s="72"/>
      <c r="AR31" s="76">
        <v>0</v>
      </c>
      <c r="AS31" s="72"/>
    </row>
    <row r="32" spans="1:45" s="327" customFormat="1" ht="21.6" customHeight="1" thickBot="1" x14ac:dyDescent="0.35">
      <c r="A32" s="82" t="s">
        <v>107</v>
      </c>
      <c r="B32" s="82"/>
      <c r="C32" s="83"/>
      <c r="D32" s="83"/>
      <c r="E32" s="83"/>
      <c r="F32" s="84"/>
      <c r="G32" s="84"/>
      <c r="H32" s="84"/>
      <c r="I32" s="85">
        <f>SUM(I11:I31)</f>
        <v>119651444.19</v>
      </c>
      <c r="J32" s="85"/>
      <c r="K32" s="85"/>
      <c r="L32" s="85"/>
      <c r="M32" s="85"/>
      <c r="N32" s="85"/>
      <c r="O32" s="85"/>
      <c r="P32" s="86">
        <f>SUM(P10:P31)</f>
        <v>38</v>
      </c>
      <c r="Q32" s="85">
        <f>SUM(Q10:Q31)</f>
        <v>74796897.579999983</v>
      </c>
      <c r="R32" s="87">
        <f>SUM(R10:R31)</f>
        <v>3051</v>
      </c>
      <c r="S32" s="85">
        <f>SUM(S10:S31)</f>
        <v>17292549.329999998</v>
      </c>
      <c r="T32" s="88"/>
      <c r="U32" s="88"/>
      <c r="V32" s="85">
        <f>SUM(V10:V31)</f>
        <v>6559</v>
      </c>
      <c r="W32" s="85">
        <f>SUM(W10:W31)</f>
        <v>26366655.280000001</v>
      </c>
      <c r="X32" s="85"/>
      <c r="Y32" s="326">
        <f>SUM(Y10:Y31)</f>
        <v>890762.2</v>
      </c>
      <c r="Z32" s="88"/>
      <c r="AA32" s="88"/>
      <c r="AB32" s="85"/>
      <c r="AC32" s="85"/>
      <c r="AD32" s="85"/>
      <c r="AE32" s="85"/>
      <c r="AF32" s="86"/>
      <c r="AG32" s="85"/>
      <c r="AH32" s="86"/>
      <c r="AI32" s="85"/>
      <c r="AJ32" s="86"/>
      <c r="AK32" s="85"/>
      <c r="AL32" s="86"/>
      <c r="AM32" s="85"/>
      <c r="AN32" s="86"/>
      <c r="AO32" s="85"/>
      <c r="AP32" s="86"/>
      <c r="AQ32" s="85"/>
      <c r="AR32" s="89">
        <f>SUM(AR10:AR31)</f>
        <v>304579.8</v>
      </c>
      <c r="AS32" s="85"/>
    </row>
    <row r="33" spans="1:46" s="329" customFormat="1" ht="19.7" customHeight="1" x14ac:dyDescent="0.3">
      <c r="A33" s="90"/>
      <c r="B33" s="91"/>
      <c r="C33" s="92"/>
      <c r="D33" s="92"/>
      <c r="E33" s="92"/>
      <c r="F33" s="93"/>
      <c r="G33" s="93"/>
      <c r="H33" s="93"/>
      <c r="I33" s="94"/>
      <c r="J33" s="94"/>
      <c r="K33" s="94"/>
      <c r="L33" s="94"/>
      <c r="M33" s="94"/>
      <c r="N33" s="94"/>
      <c r="O33" s="94"/>
      <c r="P33" s="95"/>
      <c r="Q33" s="94"/>
      <c r="R33" s="96"/>
      <c r="S33" s="94"/>
      <c r="T33" s="97"/>
      <c r="U33" s="97"/>
      <c r="V33" s="94"/>
      <c r="W33" s="94"/>
      <c r="X33" s="94"/>
      <c r="Y33" s="328"/>
      <c r="Z33" s="97"/>
      <c r="AA33" s="97"/>
      <c r="AB33" s="94"/>
      <c r="AC33" s="94"/>
      <c r="AD33" s="94"/>
      <c r="AE33" s="94"/>
      <c r="AF33" s="95"/>
      <c r="AG33" s="94"/>
      <c r="AH33" s="95"/>
      <c r="AI33" s="94"/>
      <c r="AJ33" s="95"/>
      <c r="AK33" s="94"/>
      <c r="AL33" s="95"/>
      <c r="AM33" s="94"/>
      <c r="AN33" s="95"/>
      <c r="AO33" s="94"/>
      <c r="AP33" s="95"/>
      <c r="AQ33" s="94"/>
      <c r="AR33" s="98"/>
      <c r="AS33" s="94"/>
    </row>
    <row r="34" spans="1:46" s="123" customFormat="1" ht="26.85" customHeight="1" x14ac:dyDescent="0.3">
      <c r="A34" s="308" t="s">
        <v>108</v>
      </c>
      <c r="B34" s="309"/>
      <c r="C34" s="310"/>
      <c r="D34" s="310"/>
      <c r="E34" s="310"/>
      <c r="F34" s="311"/>
      <c r="G34" s="311"/>
      <c r="H34" s="311"/>
      <c r="I34" s="312"/>
      <c r="J34" s="312"/>
      <c r="K34" s="312"/>
      <c r="L34" s="312"/>
      <c r="M34" s="312"/>
      <c r="N34" s="312"/>
      <c r="O34" s="312"/>
      <c r="P34" s="313"/>
      <c r="Q34" s="312"/>
      <c r="R34" s="312"/>
      <c r="S34" s="312"/>
      <c r="T34" s="313"/>
      <c r="U34" s="314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3"/>
      <c r="AG34" s="312"/>
      <c r="AH34" s="313"/>
      <c r="AI34" s="312"/>
      <c r="AJ34" s="313"/>
      <c r="AK34" s="312"/>
      <c r="AL34" s="313"/>
      <c r="AM34" s="312"/>
      <c r="AN34" s="313"/>
      <c r="AO34" s="312"/>
      <c r="AP34" s="313"/>
      <c r="AQ34" s="312"/>
      <c r="AR34" s="312"/>
      <c r="AS34" s="313"/>
    </row>
    <row r="35" spans="1:46" s="220" customFormat="1" ht="22.15" customHeight="1" x14ac:dyDescent="0.3">
      <c r="A35" s="47">
        <v>1</v>
      </c>
      <c r="B35" s="46" t="s">
        <v>70</v>
      </c>
      <c r="C35" s="46" t="s">
        <v>71</v>
      </c>
      <c r="D35" s="330" t="s">
        <v>80</v>
      </c>
      <c r="E35" s="330" t="s">
        <v>81</v>
      </c>
      <c r="F35" s="289">
        <v>3</v>
      </c>
      <c r="G35" s="214"/>
      <c r="H35" s="214"/>
      <c r="I35" s="215">
        <f>J35+K35+L35+M35+N35+O35+Q35+S35+U35+W35+Y35+AA35+AC35+AE35+AG35+AI35+AK35+AM35+AO35+AQ35+AR35</f>
        <v>252000</v>
      </c>
      <c r="J35" s="216"/>
      <c r="K35" s="216"/>
      <c r="L35" s="216"/>
      <c r="M35" s="216"/>
      <c r="N35" s="216"/>
      <c r="O35" s="216"/>
      <c r="P35" s="217"/>
      <c r="Q35" s="216"/>
      <c r="R35" s="216"/>
      <c r="S35" s="216"/>
      <c r="T35" s="217"/>
      <c r="U35" s="218"/>
      <c r="V35" s="216"/>
      <c r="W35" s="216"/>
      <c r="X35" s="219">
        <v>150</v>
      </c>
      <c r="Y35" s="219">
        <f>X35*1680</f>
        <v>252000</v>
      </c>
      <c r="Z35" s="216"/>
      <c r="AA35" s="216"/>
      <c r="AB35" s="216"/>
      <c r="AC35" s="216"/>
      <c r="AD35" s="216"/>
      <c r="AE35" s="216"/>
      <c r="AF35" s="217"/>
      <c r="AG35" s="216"/>
      <c r="AH35" s="217"/>
      <c r="AI35" s="216"/>
      <c r="AJ35" s="217"/>
      <c r="AK35" s="216"/>
      <c r="AL35" s="217"/>
      <c r="AM35" s="216"/>
      <c r="AN35" s="217"/>
      <c r="AO35" s="216"/>
      <c r="AP35" s="217"/>
      <c r="AQ35" s="216"/>
      <c r="AR35" s="216"/>
      <c r="AS35" s="217"/>
    </row>
    <row r="36" spans="1:46" s="220" customFormat="1" ht="22.15" customHeight="1" x14ac:dyDescent="0.3">
      <c r="A36" s="47">
        <v>2</v>
      </c>
      <c r="B36" s="46" t="s">
        <v>70</v>
      </c>
      <c r="C36" s="46" t="s">
        <v>71</v>
      </c>
      <c r="D36" s="330" t="s">
        <v>80</v>
      </c>
      <c r="E36" s="330" t="s">
        <v>81</v>
      </c>
      <c r="F36" s="289">
        <v>5</v>
      </c>
      <c r="G36" s="214"/>
      <c r="H36" s="214"/>
      <c r="I36" s="215">
        <f>J36+K36+L36+M36+N36+O36+Q36+S36+U36+W36+Y36+AA36+AC36+AE36+AG36+AI36+AK36+AM36+AO36+AQ36+AR36</f>
        <v>467040</v>
      </c>
      <c r="J36" s="216"/>
      <c r="K36" s="216"/>
      <c r="L36" s="216"/>
      <c r="M36" s="216"/>
      <c r="N36" s="216"/>
      <c r="O36" s="216"/>
      <c r="P36" s="217"/>
      <c r="Q36" s="216"/>
      <c r="R36" s="216"/>
      <c r="S36" s="216"/>
      <c r="T36" s="217"/>
      <c r="U36" s="218"/>
      <c r="V36" s="216"/>
      <c r="W36" s="216"/>
      <c r="X36" s="219">
        <v>278</v>
      </c>
      <c r="Y36" s="219">
        <f>X36*1680</f>
        <v>467040</v>
      </c>
      <c r="Z36" s="216"/>
      <c r="AA36" s="216"/>
      <c r="AB36" s="216"/>
      <c r="AC36" s="216"/>
      <c r="AD36" s="216"/>
      <c r="AE36" s="216"/>
      <c r="AF36" s="217"/>
      <c r="AG36" s="216"/>
      <c r="AH36" s="217"/>
      <c r="AI36" s="216"/>
      <c r="AJ36" s="217"/>
      <c r="AK36" s="216"/>
      <c r="AL36" s="217"/>
      <c r="AM36" s="216"/>
      <c r="AN36" s="217"/>
      <c r="AO36" s="216"/>
      <c r="AP36" s="217"/>
      <c r="AQ36" s="216"/>
      <c r="AR36" s="216"/>
      <c r="AS36" s="217"/>
    </row>
    <row r="37" spans="1:46" s="220" customFormat="1" ht="22.15" customHeight="1" x14ac:dyDescent="0.3">
      <c r="A37" s="47">
        <v>3</v>
      </c>
      <c r="B37" s="46" t="s">
        <v>70</v>
      </c>
      <c r="C37" s="46" t="s">
        <v>71</v>
      </c>
      <c r="D37" s="330" t="s">
        <v>80</v>
      </c>
      <c r="E37" s="330" t="s">
        <v>81</v>
      </c>
      <c r="F37" s="289">
        <v>11</v>
      </c>
      <c r="G37" s="214"/>
      <c r="H37" s="214"/>
      <c r="I37" s="215">
        <f>J37+K37+L37+M37+N37+O37+Q37+S37+U37+W37+Y37+AA37+AC37+AE37+AG37+AI37+AK37+AM37+AO37+AQ37+AR37</f>
        <v>356160</v>
      </c>
      <c r="J37" s="216"/>
      <c r="K37" s="216"/>
      <c r="L37" s="216"/>
      <c r="M37" s="216"/>
      <c r="N37" s="216"/>
      <c r="O37" s="216"/>
      <c r="P37" s="217"/>
      <c r="Q37" s="216"/>
      <c r="R37" s="216"/>
      <c r="S37" s="216"/>
      <c r="T37" s="217"/>
      <c r="U37" s="218"/>
      <c r="V37" s="216"/>
      <c r="W37" s="216"/>
      <c r="X37" s="219">
        <v>212</v>
      </c>
      <c r="Y37" s="219">
        <f>X37*1680</f>
        <v>356160</v>
      </c>
      <c r="Z37" s="216"/>
      <c r="AA37" s="216"/>
      <c r="AB37" s="216"/>
      <c r="AC37" s="216"/>
      <c r="AD37" s="216"/>
      <c r="AE37" s="216"/>
      <c r="AF37" s="217"/>
      <c r="AG37" s="216"/>
      <c r="AH37" s="217"/>
      <c r="AI37" s="216"/>
      <c r="AJ37" s="217"/>
      <c r="AK37" s="216"/>
      <c r="AL37" s="217"/>
      <c r="AM37" s="216"/>
      <c r="AN37" s="217"/>
      <c r="AO37" s="216"/>
      <c r="AP37" s="217"/>
      <c r="AQ37" s="216"/>
      <c r="AR37" s="216"/>
      <c r="AS37" s="217"/>
    </row>
    <row r="38" spans="1:46" s="220" customFormat="1" ht="22.15" customHeight="1" x14ac:dyDescent="0.3">
      <c r="A38" s="47">
        <v>4</v>
      </c>
      <c r="B38" s="46" t="s">
        <v>70</v>
      </c>
      <c r="C38" s="46" t="s">
        <v>71</v>
      </c>
      <c r="D38" s="330" t="s">
        <v>80</v>
      </c>
      <c r="E38" s="330" t="s">
        <v>81</v>
      </c>
      <c r="F38" s="289">
        <v>39</v>
      </c>
      <c r="G38" s="214"/>
      <c r="H38" s="214"/>
      <c r="I38" s="215">
        <f t="shared" ref="I38" si="2">J38+K38+L38+M38+N38+O38+Q38+S38+U38+W38+Y38+AA38+AC38+AE38+AG38+AI38+AK38+AM38+AO38+AQ38+AR38</f>
        <v>498960</v>
      </c>
      <c r="J38" s="216"/>
      <c r="K38" s="216"/>
      <c r="L38" s="216"/>
      <c r="M38" s="216"/>
      <c r="N38" s="216"/>
      <c r="O38" s="216"/>
      <c r="P38" s="217"/>
      <c r="Q38" s="216"/>
      <c r="R38" s="216"/>
      <c r="S38" s="216"/>
      <c r="T38" s="217"/>
      <c r="U38" s="218"/>
      <c r="V38" s="216"/>
      <c r="W38" s="216"/>
      <c r="X38" s="219">
        <v>297</v>
      </c>
      <c r="Y38" s="219">
        <f>X38*1680</f>
        <v>498960</v>
      </c>
      <c r="Z38" s="216"/>
      <c r="AA38" s="216"/>
      <c r="AB38" s="216"/>
      <c r="AC38" s="216"/>
      <c r="AD38" s="216"/>
      <c r="AE38" s="216"/>
      <c r="AF38" s="217"/>
      <c r="AG38" s="216"/>
      <c r="AH38" s="217"/>
      <c r="AI38" s="216"/>
      <c r="AJ38" s="217"/>
      <c r="AK38" s="216"/>
      <c r="AL38" s="217"/>
      <c r="AM38" s="216"/>
      <c r="AN38" s="217"/>
      <c r="AO38" s="216"/>
      <c r="AP38" s="217"/>
      <c r="AQ38" s="216"/>
      <c r="AR38" s="216"/>
      <c r="AS38" s="217"/>
    </row>
    <row r="39" spans="1:46" s="99" customFormat="1" x14ac:dyDescent="0.3">
      <c r="A39" s="47">
        <v>5</v>
      </c>
      <c r="B39" s="282" t="s">
        <v>70</v>
      </c>
      <c r="C39" s="283" t="s">
        <v>71</v>
      </c>
      <c r="D39" s="283" t="s">
        <v>78</v>
      </c>
      <c r="E39" s="283" t="s">
        <v>111</v>
      </c>
      <c r="F39" s="284" t="s">
        <v>112</v>
      </c>
      <c r="G39" s="285"/>
      <c r="H39" s="285"/>
      <c r="I39" s="286">
        <f t="shared" ref="I39:I44" si="3">J39+K39+L39+M39+N39+O39+Q39+S39+U39+W39+Y39+AA39+AC39+AE39+AG39+AI39+AK39+AM39+AO39+AQ39+AR39</f>
        <v>9139680</v>
      </c>
      <c r="J39" s="213"/>
      <c r="K39" s="213"/>
      <c r="L39" s="213"/>
      <c r="M39" s="213"/>
      <c r="N39" s="213"/>
      <c r="O39" s="213"/>
      <c r="P39" s="287"/>
      <c r="Q39" s="213"/>
      <c r="R39" s="331">
        <v>1570</v>
      </c>
      <c r="S39" s="213">
        <f>R39*5724</f>
        <v>8986680</v>
      </c>
      <c r="T39" s="213"/>
      <c r="U39" s="213"/>
      <c r="V39" s="213"/>
      <c r="W39" s="287"/>
      <c r="X39" s="287"/>
      <c r="Y39" s="287"/>
      <c r="Z39" s="213"/>
      <c r="AA39" s="213"/>
      <c r="AB39" s="213"/>
      <c r="AC39" s="213"/>
      <c r="AD39" s="213"/>
      <c r="AE39" s="213"/>
      <c r="AF39" s="213"/>
      <c r="AG39" s="287"/>
      <c r="AH39" s="213"/>
      <c r="AI39" s="287"/>
      <c r="AJ39" s="213"/>
      <c r="AK39" s="287"/>
      <c r="AL39" s="213"/>
      <c r="AM39" s="287"/>
      <c r="AN39" s="213"/>
      <c r="AO39" s="287"/>
      <c r="AP39" s="213"/>
      <c r="AQ39" s="287"/>
      <c r="AR39" s="213">
        <v>153000</v>
      </c>
      <c r="AS39" s="213"/>
      <c r="AT39" s="213"/>
    </row>
    <row r="40" spans="1:46" s="99" customFormat="1" x14ac:dyDescent="0.3">
      <c r="A40" s="47">
        <v>6</v>
      </c>
      <c r="B40" s="46" t="s">
        <v>70</v>
      </c>
      <c r="C40" s="46" t="s">
        <v>71</v>
      </c>
      <c r="D40" s="46" t="s">
        <v>78</v>
      </c>
      <c r="E40" s="48" t="s">
        <v>82</v>
      </c>
      <c r="F40" s="47">
        <v>31</v>
      </c>
      <c r="G40" s="47"/>
      <c r="H40" s="47"/>
      <c r="I40" s="215">
        <f t="shared" si="3"/>
        <v>5343692</v>
      </c>
      <c r="J40" s="62"/>
      <c r="K40" s="62"/>
      <c r="L40" s="62"/>
      <c r="M40" s="62"/>
      <c r="N40" s="62"/>
      <c r="O40" s="62"/>
      <c r="P40" s="64"/>
      <c r="Q40" s="62"/>
      <c r="R40" s="65">
        <v>1124.5</v>
      </c>
      <c r="S40" s="62">
        <f>R40*4616</f>
        <v>5190692</v>
      </c>
      <c r="T40" s="62"/>
      <c r="U40" s="62"/>
      <c r="V40" s="62"/>
      <c r="W40" s="64"/>
      <c r="X40" s="64"/>
      <c r="Y40" s="64"/>
      <c r="Z40" s="62"/>
      <c r="AA40" s="62"/>
      <c r="AB40" s="62"/>
      <c r="AC40" s="62"/>
      <c r="AD40" s="62"/>
      <c r="AE40" s="62"/>
      <c r="AF40" s="62"/>
      <c r="AG40" s="64"/>
      <c r="AH40" s="62"/>
      <c r="AI40" s="64"/>
      <c r="AJ40" s="62"/>
      <c r="AK40" s="64"/>
      <c r="AL40" s="62"/>
      <c r="AM40" s="64"/>
      <c r="AN40" s="62"/>
      <c r="AO40" s="64"/>
      <c r="AP40" s="62"/>
      <c r="AQ40" s="64"/>
      <c r="AR40" s="62">
        <v>153000</v>
      </c>
      <c r="AS40" s="62"/>
      <c r="AT40" s="62"/>
    </row>
    <row r="41" spans="1:46" s="99" customFormat="1" x14ac:dyDescent="0.3">
      <c r="A41" s="47">
        <v>7</v>
      </c>
      <c r="B41" s="48" t="s">
        <v>70</v>
      </c>
      <c r="C41" s="48" t="s">
        <v>71</v>
      </c>
      <c r="D41" s="46" t="s">
        <v>78</v>
      </c>
      <c r="E41" s="48" t="s">
        <v>95</v>
      </c>
      <c r="F41" s="47">
        <v>6</v>
      </c>
      <c r="G41" s="47"/>
      <c r="H41" s="47"/>
      <c r="I41" s="215">
        <f t="shared" si="3"/>
        <v>2190744</v>
      </c>
      <c r="J41" s="62"/>
      <c r="K41" s="62"/>
      <c r="L41" s="62"/>
      <c r="M41" s="62"/>
      <c r="N41" s="62"/>
      <c r="O41" s="62"/>
      <c r="P41" s="64"/>
      <c r="Q41" s="62"/>
      <c r="R41" s="65">
        <v>356</v>
      </c>
      <c r="S41" s="62">
        <f>R41*5724</f>
        <v>2037744</v>
      </c>
      <c r="T41" s="62"/>
      <c r="U41" s="62"/>
      <c r="V41" s="62"/>
      <c r="W41" s="64"/>
      <c r="X41" s="64"/>
      <c r="Y41" s="64"/>
      <c r="Z41" s="62"/>
      <c r="AA41" s="62"/>
      <c r="AB41" s="62"/>
      <c r="AC41" s="62"/>
      <c r="AD41" s="62"/>
      <c r="AE41" s="62"/>
      <c r="AF41" s="62"/>
      <c r="AG41" s="64"/>
      <c r="AH41" s="62"/>
      <c r="AI41" s="64"/>
      <c r="AJ41" s="62"/>
      <c r="AK41" s="64"/>
      <c r="AL41" s="62"/>
      <c r="AM41" s="64"/>
      <c r="AN41" s="62"/>
      <c r="AO41" s="64"/>
      <c r="AP41" s="62"/>
      <c r="AQ41" s="64"/>
      <c r="AR41" s="62">
        <v>153000</v>
      </c>
      <c r="AS41" s="62"/>
      <c r="AT41" s="62"/>
    </row>
    <row r="42" spans="1:46" s="99" customFormat="1" x14ac:dyDescent="0.3">
      <c r="A42" s="47">
        <v>8</v>
      </c>
      <c r="B42" s="46" t="s">
        <v>70</v>
      </c>
      <c r="C42" s="46" t="s">
        <v>71</v>
      </c>
      <c r="D42" s="46" t="s">
        <v>78</v>
      </c>
      <c r="E42" s="48" t="s">
        <v>109</v>
      </c>
      <c r="F42" s="47">
        <v>1</v>
      </c>
      <c r="G42" s="47"/>
      <c r="H42" s="47"/>
      <c r="I42" s="215">
        <f t="shared" si="3"/>
        <v>7171166.4000000004</v>
      </c>
      <c r="J42" s="62"/>
      <c r="K42" s="62"/>
      <c r="L42" s="62"/>
      <c r="M42" s="62"/>
      <c r="N42" s="62"/>
      <c r="O42" s="62"/>
      <c r="P42" s="64"/>
      <c r="Q42" s="62"/>
      <c r="R42" s="65">
        <v>1520.4</v>
      </c>
      <c r="S42" s="62">
        <f>R42*4616</f>
        <v>7018166.4000000004</v>
      </c>
      <c r="T42" s="62"/>
      <c r="U42" s="62"/>
      <c r="V42" s="62"/>
      <c r="W42" s="64"/>
      <c r="X42" s="64"/>
      <c r="Y42" s="64"/>
      <c r="Z42" s="62"/>
      <c r="AA42" s="62"/>
      <c r="AB42" s="62"/>
      <c r="AC42" s="62"/>
      <c r="AD42" s="62"/>
      <c r="AE42" s="62"/>
      <c r="AF42" s="62"/>
      <c r="AG42" s="64"/>
      <c r="AH42" s="62"/>
      <c r="AI42" s="64"/>
      <c r="AJ42" s="62"/>
      <c r="AK42" s="64"/>
      <c r="AL42" s="62"/>
      <c r="AM42" s="64"/>
      <c r="AN42" s="62"/>
      <c r="AO42" s="64"/>
      <c r="AP42" s="62"/>
      <c r="AQ42" s="64"/>
      <c r="AR42" s="62">
        <v>153000</v>
      </c>
      <c r="AS42" s="62"/>
      <c r="AT42" s="62"/>
    </row>
    <row r="43" spans="1:46" s="99" customFormat="1" x14ac:dyDescent="0.3">
      <c r="A43" s="47">
        <v>9</v>
      </c>
      <c r="B43" s="48" t="s">
        <v>70</v>
      </c>
      <c r="C43" s="48" t="s">
        <v>71</v>
      </c>
      <c r="D43" s="46" t="s">
        <v>78</v>
      </c>
      <c r="E43" s="48" t="s">
        <v>114</v>
      </c>
      <c r="F43" s="47">
        <v>37</v>
      </c>
      <c r="G43" s="47"/>
      <c r="H43" s="47"/>
      <c r="I43" s="215">
        <f t="shared" si="3"/>
        <v>3662384.4</v>
      </c>
      <c r="J43" s="62"/>
      <c r="K43" s="62"/>
      <c r="L43" s="62"/>
      <c r="M43" s="62"/>
      <c r="N43" s="62"/>
      <c r="O43" s="62"/>
      <c r="P43" s="64"/>
      <c r="Q43" s="62"/>
      <c r="R43" s="65">
        <v>613.1</v>
      </c>
      <c r="S43" s="62">
        <f>R43*5724</f>
        <v>3509384.4</v>
      </c>
      <c r="T43" s="62"/>
      <c r="U43" s="62"/>
      <c r="V43" s="62"/>
      <c r="W43" s="64"/>
      <c r="X43" s="64"/>
      <c r="Y43" s="64"/>
      <c r="Z43" s="62"/>
      <c r="AA43" s="62"/>
      <c r="AB43" s="62"/>
      <c r="AC43" s="62"/>
      <c r="AD43" s="62"/>
      <c r="AE43" s="62"/>
      <c r="AF43" s="62"/>
      <c r="AG43" s="64"/>
      <c r="AH43" s="62"/>
      <c r="AI43" s="64"/>
      <c r="AJ43" s="62"/>
      <c r="AK43" s="64"/>
      <c r="AL43" s="62"/>
      <c r="AM43" s="64"/>
      <c r="AN43" s="62"/>
      <c r="AO43" s="64"/>
      <c r="AP43" s="62"/>
      <c r="AQ43" s="64"/>
      <c r="AR43" s="62">
        <v>153000</v>
      </c>
      <c r="AS43" s="62"/>
      <c r="AT43" s="62"/>
    </row>
    <row r="44" spans="1:46" s="99" customFormat="1" x14ac:dyDescent="0.3">
      <c r="A44" s="47">
        <v>10</v>
      </c>
      <c r="B44" s="48" t="s">
        <v>70</v>
      </c>
      <c r="C44" s="48" t="s">
        <v>71</v>
      </c>
      <c r="D44" s="46" t="s">
        <v>78</v>
      </c>
      <c r="E44" s="48" t="s">
        <v>114</v>
      </c>
      <c r="F44" s="47">
        <v>43</v>
      </c>
      <c r="G44" s="47"/>
      <c r="H44" s="47"/>
      <c r="I44" s="215">
        <f t="shared" si="3"/>
        <v>7051564.7999999998</v>
      </c>
      <c r="J44" s="62"/>
      <c r="K44" s="62"/>
      <c r="L44" s="62"/>
      <c r="M44" s="62"/>
      <c r="N44" s="62"/>
      <c r="O44" s="62"/>
      <c r="P44" s="64"/>
      <c r="Q44" s="62"/>
      <c r="R44" s="65">
        <v>1205.2</v>
      </c>
      <c r="S44" s="62">
        <f>R44*5724</f>
        <v>6898564.7999999998</v>
      </c>
      <c r="T44" s="62"/>
      <c r="U44" s="62"/>
      <c r="V44" s="62"/>
      <c r="W44" s="64"/>
      <c r="X44" s="64"/>
      <c r="Y44" s="64"/>
      <c r="Z44" s="62"/>
      <c r="AA44" s="62"/>
      <c r="AB44" s="62"/>
      <c r="AC44" s="62"/>
      <c r="AD44" s="62"/>
      <c r="AE44" s="62"/>
      <c r="AF44" s="62"/>
      <c r="AG44" s="64"/>
      <c r="AH44" s="62"/>
      <c r="AI44" s="64"/>
      <c r="AJ44" s="62"/>
      <c r="AK44" s="64"/>
      <c r="AL44" s="62"/>
      <c r="AM44" s="64"/>
      <c r="AN44" s="62"/>
      <c r="AO44" s="64"/>
      <c r="AP44" s="62"/>
      <c r="AQ44" s="64"/>
      <c r="AR44" s="62">
        <v>153000</v>
      </c>
      <c r="AS44" s="62"/>
      <c r="AT44" s="62"/>
    </row>
    <row r="45" spans="1:46" s="334" customFormat="1" x14ac:dyDescent="0.3">
      <c r="A45" s="47">
        <v>11</v>
      </c>
      <c r="B45" s="46" t="s">
        <v>70</v>
      </c>
      <c r="C45" s="46" t="s">
        <v>71</v>
      </c>
      <c r="D45" s="330" t="s">
        <v>78</v>
      </c>
      <c r="E45" s="48" t="s">
        <v>113</v>
      </c>
      <c r="F45" s="289">
        <v>9</v>
      </c>
      <c r="G45" s="332"/>
      <c r="H45" s="332"/>
      <c r="I45" s="62">
        <f>J45+K45+L45+M45+N45+O45+S45+U45+W45+X45+Z45+AD45+AF45+AH45+AJ45+AL45+AL45+AN45+AQ45+AR45</f>
        <v>7286566.4000000004</v>
      </c>
      <c r="J45" s="64"/>
      <c r="K45" s="64"/>
      <c r="L45" s="64"/>
      <c r="M45" s="64"/>
      <c r="N45" s="64"/>
      <c r="O45" s="64"/>
      <c r="P45" s="64"/>
      <c r="Q45" s="64"/>
      <c r="R45" s="65">
        <v>1545.4</v>
      </c>
      <c r="S45" s="62">
        <f>R45*4616</f>
        <v>7133566.4000000004</v>
      </c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230">
        <v>153000</v>
      </c>
    </row>
    <row r="46" spans="1:46" s="220" customFormat="1" ht="22.15" customHeight="1" x14ac:dyDescent="0.3">
      <c r="A46" s="47">
        <v>12</v>
      </c>
      <c r="B46" s="46" t="s">
        <v>70</v>
      </c>
      <c r="C46" s="46" t="s">
        <v>71</v>
      </c>
      <c r="D46" s="330" t="s">
        <v>78</v>
      </c>
      <c r="E46" s="48" t="s">
        <v>138</v>
      </c>
      <c r="F46" s="289">
        <v>5</v>
      </c>
      <c r="G46" s="335"/>
      <c r="H46" s="335"/>
      <c r="I46" s="215">
        <f>J46+K46+L46+M46+N46+O46+Q46+S46+U46+W46+Y46+AA46+AC46+AE46+AG46+AI46+AK46+AM46+AO46+AQ46+AR46</f>
        <v>6434303</v>
      </c>
      <c r="J46" s="336"/>
      <c r="K46" s="337"/>
      <c r="L46" s="337"/>
      <c r="M46" s="337"/>
      <c r="N46" s="338"/>
      <c r="O46" s="338">
        <f>2010.1*566</f>
        <v>1137716.5999999999</v>
      </c>
      <c r="P46" s="335"/>
      <c r="Q46" s="339"/>
      <c r="R46" s="340">
        <v>898.6</v>
      </c>
      <c r="S46" s="341">
        <f>R46*5724</f>
        <v>5143586.4000000004</v>
      </c>
      <c r="T46" s="217"/>
      <c r="U46" s="218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88"/>
      <c r="AG46" s="216"/>
      <c r="AH46" s="217"/>
      <c r="AI46" s="216"/>
      <c r="AJ46" s="217"/>
      <c r="AK46" s="216"/>
      <c r="AL46" s="217"/>
      <c r="AM46" s="216"/>
      <c r="AN46" s="217"/>
      <c r="AO46" s="216"/>
      <c r="AP46" s="217"/>
      <c r="AQ46" s="216"/>
      <c r="AR46" s="219">
        <v>153000</v>
      </c>
      <c r="AS46" s="217"/>
    </row>
    <row r="47" spans="1:46" s="334" customFormat="1" x14ac:dyDescent="0.3">
      <c r="A47" s="47">
        <v>13</v>
      </c>
      <c r="B47" s="46" t="s">
        <v>70</v>
      </c>
      <c r="C47" s="46" t="s">
        <v>71</v>
      </c>
      <c r="D47" s="330" t="s">
        <v>78</v>
      </c>
      <c r="E47" s="48" t="s">
        <v>86</v>
      </c>
      <c r="F47" s="289">
        <v>14</v>
      </c>
      <c r="G47" s="332"/>
      <c r="H47" s="289" t="s">
        <v>88</v>
      </c>
      <c r="I47" s="62">
        <f>J47+K47+L47+M47+N47+O47+S47+U47+W47+X47+Z47+AD47+AF47+AH47+AJ47+AL47+AL47+AN47+AQ47+AR47</f>
        <v>4508657.6000000006</v>
      </c>
      <c r="J47" s="64"/>
      <c r="K47" s="64"/>
      <c r="L47" s="64"/>
      <c r="M47" s="64"/>
      <c r="N47" s="64"/>
      <c r="O47" s="64"/>
      <c r="P47" s="64"/>
      <c r="Q47" s="64"/>
      <c r="R47" s="65">
        <v>943.6</v>
      </c>
      <c r="S47" s="62">
        <f>R47*4616</f>
        <v>4355657.6000000006</v>
      </c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230">
        <v>153000</v>
      </c>
    </row>
    <row r="48" spans="1:46" s="99" customFormat="1" x14ac:dyDescent="0.3">
      <c r="A48" s="47">
        <v>14</v>
      </c>
      <c r="B48" s="48" t="s">
        <v>70</v>
      </c>
      <c r="C48" s="48" t="s">
        <v>71</v>
      </c>
      <c r="D48" s="46" t="s">
        <v>78</v>
      </c>
      <c r="E48" s="48" t="s">
        <v>92</v>
      </c>
      <c r="F48" s="47">
        <v>3</v>
      </c>
      <c r="G48" s="47"/>
      <c r="H48" s="47"/>
      <c r="I48" s="215">
        <f t="shared" ref="I48:I54" si="4">J48+K48+L48+M48+N48+O48+Q48+S48+U48+W48+Y48+AA48+AC48+AE48+AG48+AI48+AK48+AM48+AO48+AQ48+AR48</f>
        <v>7199244</v>
      </c>
      <c r="J48" s="62"/>
      <c r="K48" s="62"/>
      <c r="L48" s="62"/>
      <c r="M48" s="62"/>
      <c r="N48" s="62"/>
      <c r="O48" s="62"/>
      <c r="P48" s="64"/>
      <c r="Q48" s="62"/>
      <c r="R48" s="65">
        <v>1231</v>
      </c>
      <c r="S48" s="62">
        <f t="shared" ref="S48" si="5">R48*5724</f>
        <v>7046244</v>
      </c>
      <c r="T48" s="62"/>
      <c r="U48" s="62"/>
      <c r="V48" s="62"/>
      <c r="W48" s="64"/>
      <c r="X48" s="64"/>
      <c r="Y48" s="64"/>
      <c r="Z48" s="62"/>
      <c r="AA48" s="62"/>
      <c r="AB48" s="62"/>
      <c r="AC48" s="62"/>
      <c r="AD48" s="62"/>
      <c r="AE48" s="62"/>
      <c r="AF48" s="62"/>
      <c r="AG48" s="64"/>
      <c r="AH48" s="62"/>
      <c r="AI48" s="64"/>
      <c r="AJ48" s="62"/>
      <c r="AK48" s="64"/>
      <c r="AL48" s="62"/>
      <c r="AM48" s="64"/>
      <c r="AN48" s="62"/>
      <c r="AO48" s="64"/>
      <c r="AP48" s="62"/>
      <c r="AQ48" s="64"/>
      <c r="AR48" s="62">
        <v>153000</v>
      </c>
      <c r="AS48" s="62"/>
      <c r="AT48" s="62"/>
    </row>
    <row r="49" spans="1:46" s="99" customFormat="1" x14ac:dyDescent="0.3">
      <c r="A49" s="47">
        <v>15</v>
      </c>
      <c r="B49" s="57" t="s">
        <v>70</v>
      </c>
      <c r="C49" s="57" t="s">
        <v>71</v>
      </c>
      <c r="D49" s="58" t="s">
        <v>78</v>
      </c>
      <c r="E49" s="57" t="s">
        <v>87</v>
      </c>
      <c r="F49" s="59">
        <v>2</v>
      </c>
      <c r="G49" s="290"/>
      <c r="H49" s="290"/>
      <c r="I49" s="291">
        <f t="shared" si="4"/>
        <v>6658898.3999999994</v>
      </c>
      <c r="J49" s="60"/>
      <c r="K49" s="60"/>
      <c r="L49" s="60"/>
      <c r="M49" s="60"/>
      <c r="N49" s="60"/>
      <c r="O49" s="60"/>
      <c r="P49" s="61"/>
      <c r="Q49" s="60"/>
      <c r="R49" s="318">
        <v>1136.5999999999999</v>
      </c>
      <c r="S49" s="60">
        <f t="shared" ref="S49" si="6">R49*5724</f>
        <v>6505898.3999999994</v>
      </c>
      <c r="T49" s="60"/>
      <c r="U49" s="60"/>
      <c r="V49" s="60"/>
      <c r="W49" s="61"/>
      <c r="X49" s="61"/>
      <c r="Y49" s="61"/>
      <c r="Z49" s="60"/>
      <c r="AA49" s="60"/>
      <c r="AB49" s="60"/>
      <c r="AC49" s="62"/>
      <c r="AD49" s="62"/>
      <c r="AE49" s="60"/>
      <c r="AF49" s="60"/>
      <c r="AG49" s="61"/>
      <c r="AH49" s="60"/>
      <c r="AI49" s="61"/>
      <c r="AJ49" s="60"/>
      <c r="AK49" s="61"/>
      <c r="AL49" s="60"/>
      <c r="AM49" s="61"/>
      <c r="AN49" s="60"/>
      <c r="AO49" s="61"/>
      <c r="AP49" s="60"/>
      <c r="AQ49" s="61"/>
      <c r="AR49" s="60">
        <v>153000</v>
      </c>
      <c r="AS49" s="291"/>
      <c r="AT49" s="60"/>
    </row>
    <row r="50" spans="1:46" s="99" customFormat="1" x14ac:dyDescent="0.3">
      <c r="A50" s="47">
        <v>16</v>
      </c>
      <c r="B50" s="48" t="s">
        <v>70</v>
      </c>
      <c r="C50" s="48" t="s">
        <v>71</v>
      </c>
      <c r="D50" s="46" t="s">
        <v>78</v>
      </c>
      <c r="E50" s="48" t="s">
        <v>87</v>
      </c>
      <c r="F50" s="47">
        <v>66</v>
      </c>
      <c r="G50" s="47"/>
      <c r="H50" s="47"/>
      <c r="I50" s="215">
        <f t="shared" si="4"/>
        <v>2461000</v>
      </c>
      <c r="J50" s="62"/>
      <c r="K50" s="62"/>
      <c r="L50" s="62"/>
      <c r="M50" s="62"/>
      <c r="N50" s="62"/>
      <c r="O50" s="62"/>
      <c r="P50" s="64"/>
      <c r="Q50" s="62"/>
      <c r="R50" s="342">
        <v>500</v>
      </c>
      <c r="S50" s="62">
        <f>R50*4616</f>
        <v>2308000</v>
      </c>
      <c r="T50" s="62"/>
      <c r="U50" s="62"/>
      <c r="V50" s="62"/>
      <c r="W50" s="64"/>
      <c r="X50" s="64"/>
      <c r="Y50" s="64"/>
      <c r="Z50" s="62"/>
      <c r="AA50" s="62"/>
      <c r="AB50" s="62"/>
      <c r="AC50" s="62"/>
      <c r="AD50" s="62"/>
      <c r="AE50" s="62"/>
      <c r="AF50" s="62"/>
      <c r="AG50" s="64"/>
      <c r="AH50" s="62"/>
      <c r="AI50" s="64"/>
      <c r="AJ50" s="62"/>
      <c r="AK50" s="64"/>
      <c r="AL50" s="62"/>
      <c r="AM50" s="64"/>
      <c r="AN50" s="62"/>
      <c r="AO50" s="64"/>
      <c r="AP50" s="62"/>
      <c r="AQ50" s="64"/>
      <c r="AR50" s="62">
        <v>153000</v>
      </c>
      <c r="AS50" s="68"/>
      <c r="AT50" s="62"/>
    </row>
    <row r="51" spans="1:46" s="99" customFormat="1" x14ac:dyDescent="0.3">
      <c r="A51" s="47">
        <v>17</v>
      </c>
      <c r="B51" s="48" t="s">
        <v>70</v>
      </c>
      <c r="C51" s="48" t="s">
        <v>71</v>
      </c>
      <c r="D51" s="46" t="s">
        <v>72</v>
      </c>
      <c r="E51" s="48" t="s">
        <v>73</v>
      </c>
      <c r="F51" s="47">
        <v>16</v>
      </c>
      <c r="G51" s="47"/>
      <c r="H51" s="47"/>
      <c r="I51" s="215">
        <f t="shared" si="4"/>
        <v>6054444</v>
      </c>
      <c r="J51" s="62"/>
      <c r="K51" s="62"/>
      <c r="L51" s="62"/>
      <c r="M51" s="62"/>
      <c r="N51" s="62"/>
      <c r="O51" s="62"/>
      <c r="P51" s="64"/>
      <c r="Q51" s="62"/>
      <c r="R51" s="342">
        <v>1031</v>
      </c>
      <c r="S51" s="62">
        <f>R51*5724</f>
        <v>5901444</v>
      </c>
      <c r="T51" s="62"/>
      <c r="U51" s="62"/>
      <c r="V51" s="62"/>
      <c r="W51" s="64"/>
      <c r="X51" s="64"/>
      <c r="Y51" s="64"/>
      <c r="Z51" s="62"/>
      <c r="AA51" s="62"/>
      <c r="AB51" s="62"/>
      <c r="AC51" s="62"/>
      <c r="AD51" s="62"/>
      <c r="AE51" s="62"/>
      <c r="AF51" s="62"/>
      <c r="AG51" s="64"/>
      <c r="AH51" s="62"/>
      <c r="AI51" s="64"/>
      <c r="AJ51" s="62"/>
      <c r="AK51" s="64"/>
      <c r="AL51" s="62"/>
      <c r="AM51" s="64"/>
      <c r="AN51" s="62"/>
      <c r="AO51" s="64"/>
      <c r="AP51" s="62"/>
      <c r="AQ51" s="64"/>
      <c r="AR51" s="62">
        <v>153000</v>
      </c>
      <c r="AS51" s="68"/>
      <c r="AT51" s="62"/>
    </row>
    <row r="52" spans="1:46" s="99" customFormat="1" x14ac:dyDescent="0.3">
      <c r="A52" s="47">
        <v>18</v>
      </c>
      <c r="B52" s="48" t="s">
        <v>70</v>
      </c>
      <c r="C52" s="48" t="s">
        <v>71</v>
      </c>
      <c r="D52" s="46" t="s">
        <v>72</v>
      </c>
      <c r="E52" s="48" t="s">
        <v>73</v>
      </c>
      <c r="F52" s="47">
        <v>52</v>
      </c>
      <c r="G52" s="47"/>
      <c r="H52" s="47"/>
      <c r="I52" s="215">
        <f t="shared" si="4"/>
        <v>5344668</v>
      </c>
      <c r="J52" s="62"/>
      <c r="K52" s="62"/>
      <c r="L52" s="62"/>
      <c r="M52" s="62"/>
      <c r="N52" s="62"/>
      <c r="O52" s="62"/>
      <c r="P52" s="64"/>
      <c r="Q52" s="62"/>
      <c r="R52" s="342">
        <v>907</v>
      </c>
      <c r="S52" s="62">
        <f>R52*5724</f>
        <v>5191668</v>
      </c>
      <c r="T52" s="62"/>
      <c r="U52" s="62"/>
      <c r="V52" s="62"/>
      <c r="W52" s="64"/>
      <c r="X52" s="64"/>
      <c r="Y52" s="64"/>
      <c r="Z52" s="62"/>
      <c r="AA52" s="62"/>
      <c r="AB52" s="62"/>
      <c r="AC52" s="62"/>
      <c r="AD52" s="62"/>
      <c r="AE52" s="62"/>
      <c r="AF52" s="62"/>
      <c r="AG52" s="64"/>
      <c r="AH52" s="62"/>
      <c r="AI52" s="64"/>
      <c r="AJ52" s="62"/>
      <c r="AK52" s="64"/>
      <c r="AL52" s="62"/>
      <c r="AM52" s="64"/>
      <c r="AN52" s="62"/>
      <c r="AO52" s="64"/>
      <c r="AP52" s="62"/>
      <c r="AQ52" s="64"/>
      <c r="AR52" s="62">
        <v>153000</v>
      </c>
      <c r="AS52" s="68"/>
      <c r="AT52" s="62"/>
    </row>
    <row r="53" spans="1:46" s="99" customFormat="1" x14ac:dyDescent="0.3">
      <c r="A53" s="47">
        <v>19</v>
      </c>
      <c r="B53" s="48" t="s">
        <v>70</v>
      </c>
      <c r="C53" s="48" t="s">
        <v>71</v>
      </c>
      <c r="D53" s="46" t="s">
        <v>72</v>
      </c>
      <c r="E53" s="48" t="s">
        <v>73</v>
      </c>
      <c r="F53" s="47">
        <v>66</v>
      </c>
      <c r="G53" s="47"/>
      <c r="H53" s="47"/>
      <c r="I53" s="215">
        <f t="shared" si="4"/>
        <v>7217560.7999999998</v>
      </c>
      <c r="J53" s="62"/>
      <c r="K53" s="62"/>
      <c r="L53" s="62"/>
      <c r="M53" s="62"/>
      <c r="N53" s="62"/>
      <c r="O53" s="62"/>
      <c r="P53" s="64"/>
      <c r="Q53" s="62"/>
      <c r="R53" s="65">
        <v>1234.2</v>
      </c>
      <c r="S53" s="62">
        <f t="shared" ref="S53" si="7">R53*5724</f>
        <v>7064560.7999999998</v>
      </c>
      <c r="T53" s="62"/>
      <c r="U53" s="62"/>
      <c r="V53" s="62"/>
      <c r="W53" s="64"/>
      <c r="X53" s="64"/>
      <c r="Y53" s="64"/>
      <c r="Z53" s="62"/>
      <c r="AA53" s="62"/>
      <c r="AB53" s="62"/>
      <c r="AC53" s="62"/>
      <c r="AD53" s="62"/>
      <c r="AE53" s="62"/>
      <c r="AF53" s="62"/>
      <c r="AG53" s="64"/>
      <c r="AH53" s="62"/>
      <c r="AI53" s="64"/>
      <c r="AJ53" s="62"/>
      <c r="AK53" s="64"/>
      <c r="AL53" s="62"/>
      <c r="AM53" s="64"/>
      <c r="AN53" s="62"/>
      <c r="AO53" s="64"/>
      <c r="AP53" s="62"/>
      <c r="AQ53" s="64"/>
      <c r="AR53" s="62">
        <v>153000</v>
      </c>
      <c r="AS53" s="68"/>
      <c r="AT53" s="62"/>
    </row>
    <row r="54" spans="1:46" s="99" customFormat="1" x14ac:dyDescent="0.3">
      <c r="A54" s="47">
        <v>20</v>
      </c>
      <c r="B54" s="48" t="s">
        <v>70</v>
      </c>
      <c r="C54" s="48" t="s">
        <v>71</v>
      </c>
      <c r="D54" s="46" t="s">
        <v>72</v>
      </c>
      <c r="E54" s="48" t="s">
        <v>73</v>
      </c>
      <c r="F54" s="47">
        <v>79</v>
      </c>
      <c r="G54" s="47"/>
      <c r="H54" s="47"/>
      <c r="I54" s="215">
        <f t="shared" si="4"/>
        <v>7021800</v>
      </c>
      <c r="J54" s="62"/>
      <c r="K54" s="62"/>
      <c r="L54" s="62"/>
      <c r="M54" s="62"/>
      <c r="N54" s="62"/>
      <c r="O54" s="62"/>
      <c r="P54" s="64"/>
      <c r="Q54" s="62"/>
      <c r="R54" s="342">
        <v>1200</v>
      </c>
      <c r="S54" s="62">
        <f t="shared" ref="S54" si="8">R54*5724</f>
        <v>6868800</v>
      </c>
      <c r="T54" s="62"/>
      <c r="U54" s="62"/>
      <c r="V54" s="62"/>
      <c r="W54" s="64"/>
      <c r="X54" s="64"/>
      <c r="Y54" s="64"/>
      <c r="Z54" s="62"/>
      <c r="AA54" s="62"/>
      <c r="AB54" s="62"/>
      <c r="AC54" s="62"/>
      <c r="AD54" s="62"/>
      <c r="AE54" s="62"/>
      <c r="AF54" s="62"/>
      <c r="AG54" s="64"/>
      <c r="AH54" s="62"/>
      <c r="AI54" s="64"/>
      <c r="AJ54" s="62"/>
      <c r="AK54" s="64"/>
      <c r="AL54" s="62"/>
      <c r="AM54" s="64"/>
      <c r="AN54" s="62"/>
      <c r="AO54" s="64"/>
      <c r="AP54" s="62"/>
      <c r="AQ54" s="64"/>
      <c r="AR54" s="62">
        <v>153000</v>
      </c>
      <c r="AS54" s="68"/>
      <c r="AT54" s="62"/>
    </row>
    <row r="55" spans="1:46" s="334" customFormat="1" x14ac:dyDescent="0.3">
      <c r="A55" s="47">
        <v>21</v>
      </c>
      <c r="B55" s="46" t="s">
        <v>70</v>
      </c>
      <c r="C55" s="46" t="s">
        <v>71</v>
      </c>
      <c r="D55" s="330" t="s">
        <v>140</v>
      </c>
      <c r="E55" s="48" t="s">
        <v>73</v>
      </c>
      <c r="F55" s="289">
        <v>114</v>
      </c>
      <c r="G55" s="332"/>
      <c r="H55" s="332"/>
      <c r="I55" s="62">
        <f>J55+K55+L55+M55+N55+O55+S55+U55+W55+X55+Z55+AD55+AF55+AH55+AJ55+AL55+AL55+AN55+AQ55+AR55</f>
        <v>6793577.5999999996</v>
      </c>
      <c r="J55" s="64"/>
      <c r="K55" s="64"/>
      <c r="L55" s="64"/>
      <c r="M55" s="64"/>
      <c r="N55" s="64"/>
      <c r="O55" s="64"/>
      <c r="P55" s="64"/>
      <c r="Q55" s="64"/>
      <c r="R55" s="65">
        <v>1438.6</v>
      </c>
      <c r="S55" s="62">
        <f>R55*4616</f>
        <v>6640577.5999999996</v>
      </c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  <c r="AN55" s="333"/>
      <c r="AO55" s="333"/>
      <c r="AP55" s="333"/>
      <c r="AQ55" s="333"/>
      <c r="AR55" s="230">
        <v>153000</v>
      </c>
    </row>
    <row r="56" spans="1:46" s="334" customFormat="1" x14ac:dyDescent="0.3">
      <c r="A56" s="47">
        <v>22</v>
      </c>
      <c r="B56" s="46" t="s">
        <v>70</v>
      </c>
      <c r="C56" s="46" t="s">
        <v>71</v>
      </c>
      <c r="D56" s="330" t="s">
        <v>140</v>
      </c>
      <c r="E56" s="48" t="s">
        <v>73</v>
      </c>
      <c r="F56" s="289">
        <v>116</v>
      </c>
      <c r="G56" s="332"/>
      <c r="H56" s="332"/>
      <c r="I56" s="62">
        <f>J56+K56+L56+M56+N56+O56+S56+U56+W56+X56+Z56+AD56+AF56+AH56+AJ56+AL56+AL56+AN56+AQ56+AR56</f>
        <v>4487424</v>
      </c>
      <c r="J56" s="64"/>
      <c r="K56" s="64"/>
      <c r="L56" s="64"/>
      <c r="M56" s="64"/>
      <c r="N56" s="64"/>
      <c r="O56" s="64"/>
      <c r="P56" s="64"/>
      <c r="Q56" s="64"/>
      <c r="R56" s="65">
        <v>939</v>
      </c>
      <c r="S56" s="62">
        <f>R56*4616</f>
        <v>4334424</v>
      </c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  <c r="AN56" s="333"/>
      <c r="AO56" s="333"/>
      <c r="AP56" s="333"/>
      <c r="AQ56" s="333"/>
      <c r="AR56" s="230">
        <v>153000</v>
      </c>
    </row>
    <row r="57" spans="1:46" s="334" customFormat="1" x14ac:dyDescent="0.3">
      <c r="A57" s="47">
        <v>23</v>
      </c>
      <c r="B57" s="46" t="s">
        <v>70</v>
      </c>
      <c r="C57" s="46" t="s">
        <v>71</v>
      </c>
      <c r="D57" s="330" t="s">
        <v>140</v>
      </c>
      <c r="E57" s="48" t="s">
        <v>73</v>
      </c>
      <c r="F57" s="289">
        <v>122</v>
      </c>
      <c r="G57" s="332"/>
      <c r="H57" s="332"/>
      <c r="I57" s="62">
        <f>J57+K57+L57+M57+N57+O57+S57+U57+W57+X57+Z57+AD57+AF57+AH57+AJ57+AL57+AL57+AN57+AQ57+AR57</f>
        <v>6775575.2000000002</v>
      </c>
      <c r="J57" s="64"/>
      <c r="K57" s="64"/>
      <c r="L57" s="64"/>
      <c r="M57" s="64"/>
      <c r="N57" s="64"/>
      <c r="O57" s="64"/>
      <c r="P57" s="64"/>
      <c r="Q57" s="64"/>
      <c r="R57" s="65">
        <v>1434.7</v>
      </c>
      <c r="S57" s="62">
        <f>R57*4616</f>
        <v>6622575.2000000002</v>
      </c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33"/>
      <c r="AO57" s="333"/>
      <c r="AP57" s="333"/>
      <c r="AQ57" s="333"/>
      <c r="AR57" s="230">
        <v>153000</v>
      </c>
    </row>
    <row r="58" spans="1:46" s="220" customFormat="1" ht="22.15" customHeight="1" x14ac:dyDescent="0.3">
      <c r="A58" s="47">
        <v>24</v>
      </c>
      <c r="B58" s="46" t="s">
        <v>70</v>
      </c>
      <c r="C58" s="46" t="s">
        <v>71</v>
      </c>
      <c r="D58" s="46" t="s">
        <v>72</v>
      </c>
      <c r="E58" s="48" t="s">
        <v>73</v>
      </c>
      <c r="F58" s="292">
        <v>228</v>
      </c>
      <c r="G58" s="292"/>
      <c r="H58" s="292"/>
      <c r="I58" s="215">
        <f>J58+K58+L58+M58+N58+O58+Q58+S58+U58+W58+Y58+AA58+AC58+AE58+AG58+AI58+AK58+AM58+AO58+AQ58+AR58</f>
        <v>4258470.4000000004</v>
      </c>
      <c r="J58" s="219"/>
      <c r="K58" s="219"/>
      <c r="L58" s="219"/>
      <c r="M58" s="219"/>
      <c r="N58" s="219"/>
      <c r="O58" s="219"/>
      <c r="P58" s="288"/>
      <c r="Q58" s="219"/>
      <c r="R58" s="293">
        <v>889.4</v>
      </c>
      <c r="S58" s="62">
        <f>R58*4616</f>
        <v>4105470.4</v>
      </c>
      <c r="T58" s="288"/>
      <c r="U58" s="294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88"/>
      <c r="AG58" s="219"/>
      <c r="AH58" s="288"/>
      <c r="AI58" s="219"/>
      <c r="AJ58" s="288"/>
      <c r="AK58" s="219"/>
      <c r="AL58" s="288"/>
      <c r="AM58" s="219"/>
      <c r="AN58" s="288"/>
      <c r="AO58" s="219"/>
      <c r="AP58" s="288"/>
      <c r="AQ58" s="219"/>
      <c r="AR58" s="62">
        <v>153000</v>
      </c>
      <c r="AS58" s="288"/>
    </row>
    <row r="59" spans="1:46" s="376" customFormat="1" x14ac:dyDescent="0.3">
      <c r="A59" s="47">
        <v>25</v>
      </c>
      <c r="B59" s="302" t="s">
        <v>70</v>
      </c>
      <c r="C59" s="46" t="s">
        <v>71</v>
      </c>
      <c r="D59" s="371" t="s">
        <v>78</v>
      </c>
      <c r="E59" s="372" t="s">
        <v>119</v>
      </c>
      <c r="F59" s="373">
        <v>5</v>
      </c>
      <c r="G59" s="371"/>
      <c r="H59" s="373"/>
      <c r="I59" s="215">
        <f>J59+K59+L59+M59+N59+O59+Q59+S59+U59+W59+Y59+AA59+AC59+AE59+AG59+AI59+AK59+AM59+AO59+AQ59+AR59</f>
        <v>6894727.2000000002</v>
      </c>
      <c r="J59" s="374"/>
      <c r="K59" s="374"/>
      <c r="L59" s="374"/>
      <c r="M59" s="374"/>
      <c r="N59" s="374"/>
      <c r="O59" s="374"/>
      <c r="P59" s="374"/>
      <c r="Q59" s="374"/>
      <c r="R59" s="377">
        <v>1177.8</v>
      </c>
      <c r="S59" s="62">
        <f>R59*5724</f>
        <v>6741727.2000000002</v>
      </c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230">
        <v>153000</v>
      </c>
    </row>
    <row r="60" spans="1:46" s="295" customFormat="1" x14ac:dyDescent="0.3">
      <c r="A60" s="47">
        <v>26</v>
      </c>
      <c r="B60" s="48" t="s">
        <v>70</v>
      </c>
      <c r="C60" s="46" t="s">
        <v>71</v>
      </c>
      <c r="D60" s="46" t="s">
        <v>72</v>
      </c>
      <c r="E60" s="46" t="s">
        <v>124</v>
      </c>
      <c r="F60" s="47">
        <v>44</v>
      </c>
      <c r="G60" s="47"/>
      <c r="H60" s="47"/>
      <c r="I60" s="215">
        <f>J60+K60+L60+M60+N60+O60+Q60+S60+U60+W60+Z60+AB60+AD60+AF60+AH60+AJ60+AL60+AN60+AP60+AR60+AS60</f>
        <v>2453000</v>
      </c>
      <c r="J60" s="62"/>
      <c r="K60" s="62"/>
      <c r="L60" s="62"/>
      <c r="M60" s="62"/>
      <c r="N60" s="62"/>
      <c r="O60" s="62"/>
      <c r="P60" s="64">
        <v>1</v>
      </c>
      <c r="Q60" s="62">
        <f>P60*2300000</f>
        <v>2300000</v>
      </c>
      <c r="R60" s="62"/>
      <c r="S60" s="62"/>
      <c r="T60" s="62"/>
      <c r="U60" s="62"/>
      <c r="V60" s="62"/>
      <c r="W60" s="64"/>
      <c r="X60" s="64"/>
      <c r="Y60" s="64"/>
      <c r="Z60" s="64"/>
      <c r="AA60" s="62"/>
      <c r="AB60" s="62"/>
      <c r="AC60" s="62"/>
      <c r="AD60" s="62"/>
      <c r="AE60" s="62"/>
      <c r="AF60" s="62"/>
      <c r="AG60" s="64"/>
      <c r="AH60" s="62"/>
      <c r="AI60" s="64"/>
      <c r="AJ60" s="62"/>
      <c r="AK60" s="64"/>
      <c r="AL60" s="62"/>
      <c r="AM60" s="64"/>
      <c r="AN60" s="62"/>
      <c r="AO60" s="64"/>
      <c r="AP60" s="62"/>
      <c r="AQ60" s="64"/>
      <c r="AR60" s="62">
        <v>153000</v>
      </c>
      <c r="AS60" s="62"/>
      <c r="AT60" s="62"/>
    </row>
    <row r="61" spans="1:46" s="220" customFormat="1" ht="22.15" customHeight="1" x14ac:dyDescent="0.3">
      <c r="A61" s="47">
        <v>27</v>
      </c>
      <c r="B61" s="46" t="s">
        <v>70</v>
      </c>
      <c r="C61" s="46" t="s">
        <v>71</v>
      </c>
      <c r="D61" s="330" t="s">
        <v>72</v>
      </c>
      <c r="E61" s="48" t="s">
        <v>76</v>
      </c>
      <c r="F61" s="289">
        <v>110</v>
      </c>
      <c r="G61" s="214"/>
      <c r="H61" s="214"/>
      <c r="I61" s="215">
        <f>J61+K61+L61+M61+N61+O61+Q61+S61+U61+W61+Y61+AA61+AC61+AE61+AG61+AI61+AK61+AM61+AO61+AQ61+AR61</f>
        <v>341040</v>
      </c>
      <c r="J61" s="216"/>
      <c r="K61" s="216"/>
      <c r="L61" s="216"/>
      <c r="M61" s="216"/>
      <c r="N61" s="216"/>
      <c r="O61" s="216"/>
      <c r="P61" s="217"/>
      <c r="Q61" s="216"/>
      <c r="R61" s="216"/>
      <c r="S61" s="216"/>
      <c r="T61" s="217"/>
      <c r="U61" s="218"/>
      <c r="V61" s="216"/>
      <c r="W61" s="216"/>
      <c r="X61" s="219">
        <v>203</v>
      </c>
      <c r="Y61" s="219">
        <f t="shared" ref="Y61:Y62" si="9">X61*1680</f>
        <v>341040</v>
      </c>
      <c r="Z61" s="216"/>
      <c r="AA61" s="216"/>
      <c r="AB61" s="216"/>
      <c r="AC61" s="216"/>
      <c r="AD61" s="216"/>
      <c r="AE61" s="216"/>
      <c r="AF61" s="217"/>
      <c r="AG61" s="216"/>
      <c r="AH61" s="217"/>
      <c r="AI61" s="216"/>
      <c r="AJ61" s="217"/>
      <c r="AK61" s="216"/>
      <c r="AL61" s="217"/>
      <c r="AM61" s="216"/>
      <c r="AN61" s="217"/>
      <c r="AO61" s="216"/>
      <c r="AP61" s="217"/>
      <c r="AQ61" s="216"/>
      <c r="AR61" s="216"/>
      <c r="AS61" s="217"/>
    </row>
    <row r="62" spans="1:46" s="220" customFormat="1" ht="22.15" customHeight="1" x14ac:dyDescent="0.3">
      <c r="A62" s="47">
        <v>28</v>
      </c>
      <c r="B62" s="46" t="s">
        <v>70</v>
      </c>
      <c r="C62" s="46" t="s">
        <v>71</v>
      </c>
      <c r="D62" s="330" t="s">
        <v>72</v>
      </c>
      <c r="E62" s="48" t="s">
        <v>76</v>
      </c>
      <c r="F62" s="289">
        <v>124</v>
      </c>
      <c r="G62" s="214"/>
      <c r="H62" s="214"/>
      <c r="I62" s="215">
        <f>J62+K62+L62+M62+N62+O62+Q62+S62+U62+W62+Y62+AA62+AC62+AE62+AG62+AI62+AK62+AM62+AO62+AQ62+AR62</f>
        <v>161280</v>
      </c>
      <c r="J62" s="216"/>
      <c r="K62" s="216"/>
      <c r="L62" s="216"/>
      <c r="M62" s="216"/>
      <c r="N62" s="216"/>
      <c r="O62" s="216"/>
      <c r="P62" s="217"/>
      <c r="Q62" s="216"/>
      <c r="R62" s="216"/>
      <c r="S62" s="216"/>
      <c r="T62" s="217"/>
      <c r="U62" s="218"/>
      <c r="V62" s="216"/>
      <c r="W62" s="216"/>
      <c r="X62" s="219">
        <v>96</v>
      </c>
      <c r="Y62" s="219">
        <f t="shared" si="9"/>
        <v>161280</v>
      </c>
      <c r="Z62" s="216"/>
      <c r="AA62" s="216"/>
      <c r="AB62" s="216"/>
      <c r="AC62" s="216"/>
      <c r="AD62" s="216"/>
      <c r="AE62" s="216"/>
      <c r="AF62" s="217"/>
      <c r="AG62" s="216"/>
      <c r="AH62" s="217"/>
      <c r="AI62" s="216"/>
      <c r="AJ62" s="217"/>
      <c r="AK62" s="216"/>
      <c r="AL62" s="217"/>
      <c r="AM62" s="216"/>
      <c r="AN62" s="217"/>
      <c r="AO62" s="216"/>
      <c r="AP62" s="217"/>
      <c r="AQ62" s="216"/>
      <c r="AR62" s="216"/>
      <c r="AS62" s="217"/>
    </row>
    <row r="63" spans="1:46" s="99" customFormat="1" x14ac:dyDescent="0.3">
      <c r="A63" s="47">
        <v>29</v>
      </c>
      <c r="B63" s="48" t="s">
        <v>70</v>
      </c>
      <c r="C63" s="48" t="s">
        <v>71</v>
      </c>
      <c r="D63" s="46" t="s">
        <v>78</v>
      </c>
      <c r="E63" s="48" t="s">
        <v>93</v>
      </c>
      <c r="F63" s="47">
        <v>8</v>
      </c>
      <c r="G63" s="47"/>
      <c r="H63" s="47"/>
      <c r="I63" s="215">
        <f t="shared" ref="I63" si="10">J63+K63+L63+M63+N63+O63+Q63+S63+U63+W63+Y63+AA63+AC63+AE63+AG63+AI63+AK63+AM63+AO63+AQ63+AR63</f>
        <v>6769574.4000000004</v>
      </c>
      <c r="J63" s="62"/>
      <c r="K63" s="62"/>
      <c r="L63" s="62"/>
      <c r="M63" s="62"/>
      <c r="N63" s="62"/>
      <c r="O63" s="62"/>
      <c r="P63" s="64"/>
      <c r="Q63" s="62"/>
      <c r="R63" s="65">
        <v>1433.4</v>
      </c>
      <c r="S63" s="62">
        <f t="shared" ref="S63" si="11">R63*4616</f>
        <v>6616574.4000000004</v>
      </c>
      <c r="T63" s="62"/>
      <c r="U63" s="62"/>
      <c r="V63" s="62"/>
      <c r="W63" s="64"/>
      <c r="X63" s="64"/>
      <c r="Y63" s="64"/>
      <c r="Z63" s="62"/>
      <c r="AA63" s="62"/>
      <c r="AB63" s="62"/>
      <c r="AC63" s="62"/>
      <c r="AD63" s="62"/>
      <c r="AE63" s="62"/>
      <c r="AF63" s="62"/>
      <c r="AG63" s="64"/>
      <c r="AH63" s="62"/>
      <c r="AI63" s="64"/>
      <c r="AJ63" s="62"/>
      <c r="AK63" s="64"/>
      <c r="AL63" s="62"/>
      <c r="AM63" s="64"/>
      <c r="AN63" s="62"/>
      <c r="AO63" s="64"/>
      <c r="AP63" s="62"/>
      <c r="AQ63" s="64"/>
      <c r="AR63" s="62">
        <v>153000</v>
      </c>
      <c r="AS63" s="62"/>
      <c r="AT63" s="62"/>
    </row>
    <row r="64" spans="1:46" s="334" customFormat="1" x14ac:dyDescent="0.3">
      <c r="A64" s="47">
        <v>30</v>
      </c>
      <c r="B64" s="46" t="s">
        <v>70</v>
      </c>
      <c r="C64" s="46" t="s">
        <v>71</v>
      </c>
      <c r="D64" s="330" t="s">
        <v>78</v>
      </c>
      <c r="E64" s="48" t="s">
        <v>93</v>
      </c>
      <c r="F64" s="289">
        <v>12</v>
      </c>
      <c r="G64" s="332"/>
      <c r="H64" s="332"/>
      <c r="I64" s="62">
        <f>J64+K64+L64+M64+N64+O64+S64+U64+W64+X64+Z64+AD64+AF64+AH64+AJ64+AL64+AL64+AN64+AQ64+AR64</f>
        <v>4511888.8</v>
      </c>
      <c r="J64" s="64"/>
      <c r="K64" s="64"/>
      <c r="L64" s="64"/>
      <c r="M64" s="64"/>
      <c r="N64" s="64"/>
      <c r="O64" s="64"/>
      <c r="P64" s="64"/>
      <c r="Q64" s="64"/>
      <c r="R64" s="65">
        <v>944.3</v>
      </c>
      <c r="S64" s="62">
        <f>R64*4616</f>
        <v>4358888.8</v>
      </c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3"/>
      <c r="AO64" s="333"/>
      <c r="AP64" s="333"/>
      <c r="AQ64" s="333"/>
      <c r="AR64" s="230">
        <v>153000</v>
      </c>
    </row>
    <row r="65" spans="1:46" s="99" customFormat="1" x14ac:dyDescent="0.3">
      <c r="A65" s="47">
        <v>31</v>
      </c>
      <c r="B65" s="48" t="s">
        <v>70</v>
      </c>
      <c r="C65" s="48" t="s">
        <v>71</v>
      </c>
      <c r="D65" s="46" t="s">
        <v>78</v>
      </c>
      <c r="E65" s="48" t="s">
        <v>115</v>
      </c>
      <c r="F65" s="63" t="s">
        <v>116</v>
      </c>
      <c r="G65" s="47"/>
      <c r="H65" s="47"/>
      <c r="I65" s="215">
        <f>J65+K65+L65+M65+N65+O65+Q65+S65+U65+W65+Y65+AA65+AC65+AE65+AG65+AI65+AK65+AM65+AO65+AQ65+AR65</f>
        <v>2207916</v>
      </c>
      <c r="J65" s="62"/>
      <c r="K65" s="62"/>
      <c r="L65" s="62"/>
      <c r="M65" s="62"/>
      <c r="N65" s="62"/>
      <c r="O65" s="62"/>
      <c r="P65" s="64"/>
      <c r="Q65" s="62"/>
      <c r="R65" s="65">
        <v>359</v>
      </c>
      <c r="S65" s="62">
        <f>R65*5724</f>
        <v>2054916</v>
      </c>
      <c r="T65" s="62"/>
      <c r="U65" s="62"/>
      <c r="V65" s="62"/>
      <c r="W65" s="64"/>
      <c r="X65" s="64"/>
      <c r="Y65" s="64"/>
      <c r="Z65" s="62"/>
      <c r="AA65" s="62"/>
      <c r="AB65" s="62"/>
      <c r="AC65" s="62"/>
      <c r="AD65" s="62"/>
      <c r="AE65" s="62"/>
      <c r="AF65" s="62"/>
      <c r="AG65" s="64"/>
      <c r="AH65" s="62"/>
      <c r="AI65" s="64"/>
      <c r="AJ65" s="62"/>
      <c r="AK65" s="64"/>
      <c r="AL65" s="62"/>
      <c r="AM65" s="64"/>
      <c r="AN65" s="62"/>
      <c r="AO65" s="64"/>
      <c r="AP65" s="62"/>
      <c r="AQ65" s="64"/>
      <c r="AR65" s="62">
        <v>153000</v>
      </c>
      <c r="AS65" s="68"/>
      <c r="AT65" s="62"/>
    </row>
    <row r="66" spans="1:46" s="99" customFormat="1" x14ac:dyDescent="0.3">
      <c r="A66" s="47">
        <v>32</v>
      </c>
      <c r="B66" s="48" t="s">
        <v>70</v>
      </c>
      <c r="C66" s="48" t="s">
        <v>71</v>
      </c>
      <c r="D66" s="46" t="s">
        <v>78</v>
      </c>
      <c r="E66" s="48" t="s">
        <v>115</v>
      </c>
      <c r="F66" s="63" t="s">
        <v>117</v>
      </c>
      <c r="G66" s="47"/>
      <c r="H66" s="47"/>
      <c r="I66" s="215">
        <f t="shared" ref="I66" si="12">J66+K66+L66+M66+N66+O66+Q66+S66+U66+W66+Y66+AA66+AC66+AE66+AG66+AI66+AK66+AM66+AO66+AQ66+AR66</f>
        <v>2207916</v>
      </c>
      <c r="J66" s="62"/>
      <c r="K66" s="62"/>
      <c r="L66" s="62"/>
      <c r="M66" s="62"/>
      <c r="N66" s="62"/>
      <c r="O66" s="62"/>
      <c r="P66" s="64"/>
      <c r="Q66" s="62"/>
      <c r="R66" s="65">
        <v>359</v>
      </c>
      <c r="S66" s="62">
        <f t="shared" ref="S66" si="13">R66*5724</f>
        <v>2054916</v>
      </c>
      <c r="T66" s="62"/>
      <c r="U66" s="62"/>
      <c r="V66" s="62"/>
      <c r="W66" s="64"/>
      <c r="X66" s="64"/>
      <c r="Y66" s="64"/>
      <c r="Z66" s="62"/>
      <c r="AA66" s="62"/>
      <c r="AB66" s="62"/>
      <c r="AC66" s="62"/>
      <c r="AD66" s="62"/>
      <c r="AE66" s="62"/>
      <c r="AF66" s="62"/>
      <c r="AG66" s="64"/>
      <c r="AH66" s="62"/>
      <c r="AI66" s="64"/>
      <c r="AJ66" s="62"/>
      <c r="AK66" s="64"/>
      <c r="AL66" s="62"/>
      <c r="AM66" s="64"/>
      <c r="AN66" s="62"/>
      <c r="AO66" s="64"/>
      <c r="AP66" s="62"/>
      <c r="AQ66" s="64"/>
      <c r="AR66" s="62">
        <v>153000</v>
      </c>
      <c r="AS66" s="68"/>
      <c r="AT66" s="62"/>
    </row>
    <row r="67" spans="1:46" s="99" customFormat="1" x14ac:dyDescent="0.3">
      <c r="A67" s="47">
        <v>33</v>
      </c>
      <c r="B67" s="48" t="s">
        <v>70</v>
      </c>
      <c r="C67" s="48" t="s">
        <v>71</v>
      </c>
      <c r="D67" s="46" t="s">
        <v>78</v>
      </c>
      <c r="E67" s="48" t="s">
        <v>115</v>
      </c>
      <c r="F67" s="63" t="s">
        <v>118</v>
      </c>
      <c r="G67" s="47"/>
      <c r="H67" s="47"/>
      <c r="I67" s="215">
        <f t="shared" ref="I67:I72" si="14">J67+K67+L67+M67+N67+O67+Q67+S67+U67+W67+Y67+AA67+AC67+AE67+AG67+AI67+AK67+AM67+AO67+AQ67+AR67</f>
        <v>2247984</v>
      </c>
      <c r="J67" s="62"/>
      <c r="K67" s="62"/>
      <c r="L67" s="62"/>
      <c r="M67" s="62"/>
      <c r="N67" s="62"/>
      <c r="O67" s="62"/>
      <c r="P67" s="64"/>
      <c r="Q67" s="62"/>
      <c r="R67" s="65">
        <v>366</v>
      </c>
      <c r="S67" s="62">
        <f t="shared" ref="S67:S71" si="15">R67*5724</f>
        <v>2094984</v>
      </c>
      <c r="T67" s="62"/>
      <c r="U67" s="62"/>
      <c r="V67" s="62"/>
      <c r="W67" s="64"/>
      <c r="X67" s="64"/>
      <c r="Y67" s="64"/>
      <c r="Z67" s="62"/>
      <c r="AA67" s="62"/>
      <c r="AB67" s="62"/>
      <c r="AC67" s="62"/>
      <c r="AD67" s="62"/>
      <c r="AE67" s="62"/>
      <c r="AF67" s="62"/>
      <c r="AG67" s="64"/>
      <c r="AH67" s="62"/>
      <c r="AI67" s="64"/>
      <c r="AJ67" s="62"/>
      <c r="AK67" s="64"/>
      <c r="AL67" s="62"/>
      <c r="AM67" s="64"/>
      <c r="AN67" s="62"/>
      <c r="AO67" s="64"/>
      <c r="AP67" s="62"/>
      <c r="AQ67" s="64"/>
      <c r="AR67" s="62">
        <v>153000</v>
      </c>
      <c r="AS67" s="68"/>
      <c r="AT67" s="62"/>
    </row>
    <row r="68" spans="1:46" s="99" customFormat="1" x14ac:dyDescent="0.3">
      <c r="A68" s="47">
        <v>34</v>
      </c>
      <c r="B68" s="48" t="s">
        <v>70</v>
      </c>
      <c r="C68" s="48" t="s">
        <v>71</v>
      </c>
      <c r="D68" s="46" t="s">
        <v>78</v>
      </c>
      <c r="E68" s="48" t="s">
        <v>89</v>
      </c>
      <c r="F68" s="47">
        <v>5</v>
      </c>
      <c r="G68" s="47"/>
      <c r="H68" s="47"/>
      <c r="I68" s="215">
        <f t="shared" si="14"/>
        <v>6594217.2000000002</v>
      </c>
      <c r="J68" s="62"/>
      <c r="K68" s="62"/>
      <c r="L68" s="62"/>
      <c r="M68" s="62"/>
      <c r="N68" s="62"/>
      <c r="O68" s="62"/>
      <c r="P68" s="64"/>
      <c r="Q68" s="62"/>
      <c r="R68" s="65">
        <v>1125.3</v>
      </c>
      <c r="S68" s="62">
        <f t="shared" si="15"/>
        <v>6441217.2000000002</v>
      </c>
      <c r="T68" s="62"/>
      <c r="U68" s="62"/>
      <c r="V68" s="62"/>
      <c r="W68" s="64"/>
      <c r="X68" s="64"/>
      <c r="Y68" s="64"/>
      <c r="Z68" s="62"/>
      <c r="AA68" s="62"/>
      <c r="AB68" s="62"/>
      <c r="AC68" s="62"/>
      <c r="AD68" s="62"/>
      <c r="AE68" s="62"/>
      <c r="AF68" s="62"/>
      <c r="AG68" s="64"/>
      <c r="AH68" s="62"/>
      <c r="AI68" s="64"/>
      <c r="AJ68" s="62"/>
      <c r="AK68" s="64"/>
      <c r="AL68" s="62"/>
      <c r="AM68" s="64"/>
      <c r="AN68" s="62"/>
      <c r="AO68" s="64"/>
      <c r="AP68" s="62"/>
      <c r="AQ68" s="64"/>
      <c r="AR68" s="62">
        <v>153000</v>
      </c>
      <c r="AS68" s="68"/>
      <c r="AT68" s="62"/>
    </row>
    <row r="69" spans="1:46" s="99" customFormat="1" x14ac:dyDescent="0.3">
      <c r="A69" s="47">
        <v>35</v>
      </c>
      <c r="B69" s="296" t="s">
        <v>70</v>
      </c>
      <c r="C69" s="297" t="s">
        <v>71</v>
      </c>
      <c r="D69" s="297" t="s">
        <v>78</v>
      </c>
      <c r="E69" s="296" t="s">
        <v>89</v>
      </c>
      <c r="F69" s="298">
        <v>9</v>
      </c>
      <c r="G69" s="298"/>
      <c r="H69" s="298"/>
      <c r="I69" s="299">
        <f t="shared" si="14"/>
        <v>6609672</v>
      </c>
      <c r="J69" s="230"/>
      <c r="K69" s="230"/>
      <c r="L69" s="230"/>
      <c r="M69" s="230"/>
      <c r="N69" s="230"/>
      <c r="O69" s="230"/>
      <c r="P69" s="300"/>
      <c r="Q69" s="230"/>
      <c r="R69" s="343">
        <v>1128</v>
      </c>
      <c r="S69" s="230">
        <f t="shared" si="15"/>
        <v>6456672</v>
      </c>
      <c r="T69" s="230"/>
      <c r="U69" s="230"/>
      <c r="V69" s="230"/>
      <c r="W69" s="300"/>
      <c r="X69" s="300"/>
      <c r="Y69" s="300"/>
      <c r="Z69" s="230"/>
      <c r="AA69" s="230"/>
      <c r="AB69" s="230"/>
      <c r="AC69" s="230"/>
      <c r="AD69" s="230"/>
      <c r="AE69" s="230"/>
      <c r="AF69" s="230"/>
      <c r="AG69" s="300"/>
      <c r="AH69" s="230"/>
      <c r="AI69" s="300"/>
      <c r="AJ69" s="230"/>
      <c r="AK69" s="300"/>
      <c r="AL69" s="230"/>
      <c r="AM69" s="300"/>
      <c r="AN69" s="230"/>
      <c r="AO69" s="300"/>
      <c r="AP69" s="230"/>
      <c r="AQ69" s="300"/>
      <c r="AR69" s="230">
        <v>153000</v>
      </c>
      <c r="AS69" s="301"/>
      <c r="AT69" s="230"/>
    </row>
    <row r="70" spans="1:46" s="99" customFormat="1" x14ac:dyDescent="0.3">
      <c r="A70" s="47">
        <v>36</v>
      </c>
      <c r="B70" s="48" t="s">
        <v>70</v>
      </c>
      <c r="C70" s="48" t="s">
        <v>71</v>
      </c>
      <c r="D70" s="46" t="s">
        <v>78</v>
      </c>
      <c r="E70" s="48" t="s">
        <v>89</v>
      </c>
      <c r="F70" s="47">
        <v>18</v>
      </c>
      <c r="G70" s="47"/>
      <c r="H70" s="47"/>
      <c r="I70" s="215">
        <f t="shared" si="14"/>
        <v>6626844</v>
      </c>
      <c r="J70" s="62"/>
      <c r="K70" s="62"/>
      <c r="L70" s="62"/>
      <c r="M70" s="62"/>
      <c r="N70" s="62"/>
      <c r="O70" s="62"/>
      <c r="P70" s="64"/>
      <c r="Q70" s="62"/>
      <c r="R70" s="65">
        <v>1131</v>
      </c>
      <c r="S70" s="62">
        <f t="shared" si="15"/>
        <v>6473844</v>
      </c>
      <c r="T70" s="62"/>
      <c r="U70" s="62"/>
      <c r="V70" s="62"/>
      <c r="W70" s="64"/>
      <c r="X70" s="64"/>
      <c r="Y70" s="64"/>
      <c r="Z70" s="62"/>
      <c r="AA70" s="62"/>
      <c r="AB70" s="62"/>
      <c r="AC70" s="62"/>
      <c r="AD70" s="62"/>
      <c r="AE70" s="62"/>
      <c r="AF70" s="62"/>
      <c r="AG70" s="64"/>
      <c r="AH70" s="62"/>
      <c r="AI70" s="64"/>
      <c r="AJ70" s="62"/>
      <c r="AK70" s="64"/>
      <c r="AL70" s="62"/>
      <c r="AM70" s="64"/>
      <c r="AN70" s="62"/>
      <c r="AO70" s="64"/>
      <c r="AP70" s="62"/>
      <c r="AQ70" s="64"/>
      <c r="AR70" s="62">
        <v>153000</v>
      </c>
      <c r="AS70" s="62"/>
      <c r="AT70" s="62"/>
    </row>
    <row r="71" spans="1:46" s="99" customFormat="1" x14ac:dyDescent="0.3">
      <c r="A71" s="47">
        <v>37</v>
      </c>
      <c r="B71" s="48" t="s">
        <v>70</v>
      </c>
      <c r="C71" s="46" t="s">
        <v>71</v>
      </c>
      <c r="D71" s="46" t="s">
        <v>78</v>
      </c>
      <c r="E71" s="48" t="s">
        <v>89</v>
      </c>
      <c r="F71" s="47">
        <v>33</v>
      </c>
      <c r="G71" s="47"/>
      <c r="H71" s="47"/>
      <c r="I71" s="215">
        <f t="shared" si="14"/>
        <v>5214733.2</v>
      </c>
      <c r="J71" s="62"/>
      <c r="K71" s="62"/>
      <c r="L71" s="62"/>
      <c r="M71" s="62"/>
      <c r="N71" s="62"/>
      <c r="O71" s="62"/>
      <c r="P71" s="64"/>
      <c r="Q71" s="62"/>
      <c r="R71" s="65">
        <v>884.3</v>
      </c>
      <c r="S71" s="62">
        <f t="shared" si="15"/>
        <v>5061733.2</v>
      </c>
      <c r="T71" s="62"/>
      <c r="U71" s="62"/>
      <c r="V71" s="62"/>
      <c r="W71" s="64"/>
      <c r="X71" s="64"/>
      <c r="Y71" s="64"/>
      <c r="Z71" s="62"/>
      <c r="AA71" s="62"/>
      <c r="AB71" s="62"/>
      <c r="AC71" s="62"/>
      <c r="AD71" s="62"/>
      <c r="AE71" s="62"/>
      <c r="AF71" s="62"/>
      <c r="AG71" s="64"/>
      <c r="AH71" s="62"/>
      <c r="AI71" s="64"/>
      <c r="AJ71" s="62"/>
      <c r="AK71" s="64"/>
      <c r="AL71" s="62"/>
      <c r="AM71" s="64"/>
      <c r="AN71" s="62"/>
      <c r="AO71" s="64"/>
      <c r="AP71" s="62"/>
      <c r="AQ71" s="64"/>
      <c r="AR71" s="62">
        <v>153000</v>
      </c>
      <c r="AS71" s="68"/>
      <c r="AT71" s="62"/>
    </row>
    <row r="72" spans="1:46" s="220" customFormat="1" x14ac:dyDescent="0.3">
      <c r="A72" s="47">
        <v>38</v>
      </c>
      <c r="B72" s="48" t="s">
        <v>70</v>
      </c>
      <c r="C72" s="48" t="s">
        <v>71</v>
      </c>
      <c r="D72" s="46" t="s">
        <v>78</v>
      </c>
      <c r="E72" s="48" t="s">
        <v>90</v>
      </c>
      <c r="F72" s="63" t="s">
        <v>110</v>
      </c>
      <c r="G72" s="47"/>
      <c r="H72" s="47"/>
      <c r="I72" s="215">
        <f t="shared" si="14"/>
        <v>421800</v>
      </c>
      <c r="J72" s="62"/>
      <c r="K72" s="62"/>
      <c r="L72" s="62"/>
      <c r="M72" s="62"/>
      <c r="N72" s="62"/>
      <c r="O72" s="62"/>
      <c r="P72" s="64"/>
      <c r="Q72" s="62"/>
      <c r="R72" s="344"/>
      <c r="S72" s="62"/>
      <c r="T72" s="62"/>
      <c r="U72" s="62"/>
      <c r="V72" s="62"/>
      <c r="W72" s="64"/>
      <c r="X72" s="62">
        <v>160</v>
      </c>
      <c r="Y72" s="62">
        <f>X72*1680</f>
        <v>268800</v>
      </c>
      <c r="Z72" s="62"/>
      <c r="AA72" s="62"/>
      <c r="AB72" s="62"/>
      <c r="AC72" s="62"/>
      <c r="AD72" s="62"/>
      <c r="AE72" s="62"/>
      <c r="AF72" s="62"/>
      <c r="AG72" s="64"/>
      <c r="AH72" s="62"/>
      <c r="AI72" s="64"/>
      <c r="AJ72" s="62"/>
      <c r="AK72" s="64"/>
      <c r="AL72" s="62"/>
      <c r="AM72" s="64"/>
      <c r="AN72" s="62"/>
      <c r="AO72" s="64"/>
      <c r="AP72" s="62"/>
      <c r="AQ72" s="64"/>
      <c r="AR72" s="62">
        <v>153000</v>
      </c>
      <c r="AS72" s="62"/>
      <c r="AT72" s="62"/>
    </row>
    <row r="73" spans="1:46" s="99" customFormat="1" x14ac:dyDescent="0.3">
      <c r="A73" s="47">
        <v>39</v>
      </c>
      <c r="B73" s="48" t="s">
        <v>70</v>
      </c>
      <c r="C73" s="48" t="s">
        <v>71</v>
      </c>
      <c r="D73" s="46" t="s">
        <v>78</v>
      </c>
      <c r="E73" s="48" t="s">
        <v>120</v>
      </c>
      <c r="F73" s="302">
        <v>1</v>
      </c>
      <c r="G73" s="47"/>
      <c r="H73" s="47"/>
      <c r="I73" s="215">
        <f t="shared" ref="I73:I79" si="16">J73+K73+L73+M73+N73+O73+Q73+S73+U73+W73+Y73+AA73+AC73+AE73+AG73+AI73+AK73+AM73+AO73+AQ73+AR73</f>
        <v>2225088</v>
      </c>
      <c r="J73" s="62"/>
      <c r="K73" s="62"/>
      <c r="L73" s="62"/>
      <c r="M73" s="62"/>
      <c r="N73" s="62"/>
      <c r="O73" s="62"/>
      <c r="P73" s="64"/>
      <c r="Q73" s="62"/>
      <c r="R73" s="65">
        <v>362</v>
      </c>
      <c r="S73" s="62">
        <f t="shared" ref="S73:S79" si="17">R73*5724</f>
        <v>2072088</v>
      </c>
      <c r="T73" s="62"/>
      <c r="U73" s="62"/>
      <c r="V73" s="62"/>
      <c r="W73" s="64"/>
      <c r="X73" s="64"/>
      <c r="Y73" s="64"/>
      <c r="Z73" s="62"/>
      <c r="AA73" s="62"/>
      <c r="AB73" s="62"/>
      <c r="AC73" s="62"/>
      <c r="AD73" s="62"/>
      <c r="AE73" s="62"/>
      <c r="AF73" s="62"/>
      <c r="AG73" s="64"/>
      <c r="AH73" s="62"/>
      <c r="AI73" s="64"/>
      <c r="AJ73" s="62"/>
      <c r="AK73" s="64"/>
      <c r="AL73" s="62"/>
      <c r="AM73" s="64"/>
      <c r="AN73" s="62"/>
      <c r="AO73" s="64"/>
      <c r="AP73" s="62"/>
      <c r="AQ73" s="64"/>
      <c r="AR73" s="62">
        <v>153000</v>
      </c>
      <c r="AS73" s="68"/>
      <c r="AT73" s="62"/>
    </row>
    <row r="74" spans="1:46" s="99" customFormat="1" x14ac:dyDescent="0.3">
      <c r="A74" s="47">
        <v>40</v>
      </c>
      <c r="B74" s="48" t="s">
        <v>70</v>
      </c>
      <c r="C74" s="48" t="s">
        <v>71</v>
      </c>
      <c r="D74" s="46" t="s">
        <v>78</v>
      </c>
      <c r="E74" s="48" t="s">
        <v>120</v>
      </c>
      <c r="F74" s="47">
        <v>3</v>
      </c>
      <c r="G74" s="47"/>
      <c r="H74" s="47"/>
      <c r="I74" s="215">
        <f t="shared" si="16"/>
        <v>2213640</v>
      </c>
      <c r="J74" s="62"/>
      <c r="K74" s="62"/>
      <c r="L74" s="62"/>
      <c r="M74" s="62"/>
      <c r="N74" s="62"/>
      <c r="O74" s="62"/>
      <c r="P74" s="64"/>
      <c r="Q74" s="62"/>
      <c r="R74" s="65">
        <v>360</v>
      </c>
      <c r="S74" s="62">
        <f t="shared" si="17"/>
        <v>2060640</v>
      </c>
      <c r="T74" s="62"/>
      <c r="U74" s="62"/>
      <c r="V74" s="62"/>
      <c r="W74" s="64"/>
      <c r="X74" s="64"/>
      <c r="Y74" s="64"/>
      <c r="Z74" s="62"/>
      <c r="AA74" s="62"/>
      <c r="AB74" s="62"/>
      <c r="AC74" s="62"/>
      <c r="AD74" s="62"/>
      <c r="AE74" s="62"/>
      <c r="AF74" s="62"/>
      <c r="AG74" s="64"/>
      <c r="AH74" s="62"/>
      <c r="AI74" s="64"/>
      <c r="AJ74" s="62"/>
      <c r="AK74" s="64"/>
      <c r="AL74" s="62"/>
      <c r="AM74" s="64"/>
      <c r="AN74" s="62"/>
      <c r="AO74" s="64"/>
      <c r="AP74" s="62"/>
      <c r="AQ74" s="64"/>
      <c r="AR74" s="62">
        <v>153000</v>
      </c>
      <c r="AS74" s="68"/>
      <c r="AT74" s="62"/>
    </row>
    <row r="75" spans="1:46" s="99" customFormat="1" x14ac:dyDescent="0.3">
      <c r="A75" s="47">
        <v>41</v>
      </c>
      <c r="B75" s="48" t="s">
        <v>70</v>
      </c>
      <c r="C75" s="48" t="s">
        <v>71</v>
      </c>
      <c r="D75" s="46" t="s">
        <v>78</v>
      </c>
      <c r="E75" s="48" t="s">
        <v>120</v>
      </c>
      <c r="F75" s="47">
        <v>5</v>
      </c>
      <c r="G75" s="47"/>
      <c r="H75" s="47"/>
      <c r="I75" s="215">
        <f t="shared" si="16"/>
        <v>2236536</v>
      </c>
      <c r="J75" s="62"/>
      <c r="K75" s="62"/>
      <c r="L75" s="62"/>
      <c r="M75" s="62"/>
      <c r="N75" s="62"/>
      <c r="O75" s="62"/>
      <c r="P75" s="64"/>
      <c r="Q75" s="62"/>
      <c r="R75" s="65">
        <v>364</v>
      </c>
      <c r="S75" s="62">
        <f t="shared" si="17"/>
        <v>2083536</v>
      </c>
      <c r="T75" s="62"/>
      <c r="U75" s="62"/>
      <c r="V75" s="62"/>
      <c r="W75" s="64"/>
      <c r="X75" s="64"/>
      <c r="Y75" s="64"/>
      <c r="Z75" s="62"/>
      <c r="AA75" s="62"/>
      <c r="AB75" s="62"/>
      <c r="AC75" s="62"/>
      <c r="AD75" s="62"/>
      <c r="AE75" s="62"/>
      <c r="AF75" s="62"/>
      <c r="AG75" s="64"/>
      <c r="AH75" s="62"/>
      <c r="AI75" s="64"/>
      <c r="AJ75" s="62"/>
      <c r="AK75" s="64"/>
      <c r="AL75" s="62"/>
      <c r="AM75" s="64"/>
      <c r="AN75" s="62"/>
      <c r="AO75" s="64"/>
      <c r="AP75" s="62"/>
      <c r="AQ75" s="64"/>
      <c r="AR75" s="62">
        <v>153000</v>
      </c>
      <c r="AS75" s="68"/>
      <c r="AT75" s="62"/>
    </row>
    <row r="76" spans="1:46" s="99" customFormat="1" x14ac:dyDescent="0.3">
      <c r="A76" s="47">
        <v>42</v>
      </c>
      <c r="B76" s="48" t="s">
        <v>70</v>
      </c>
      <c r="C76" s="48" t="s">
        <v>71</v>
      </c>
      <c r="D76" s="46" t="s">
        <v>78</v>
      </c>
      <c r="E76" s="48" t="s">
        <v>120</v>
      </c>
      <c r="F76" s="47">
        <v>9</v>
      </c>
      <c r="G76" s="47"/>
      <c r="H76" s="47"/>
      <c r="I76" s="215">
        <f t="shared" si="16"/>
        <v>2219364</v>
      </c>
      <c r="J76" s="62"/>
      <c r="K76" s="62"/>
      <c r="L76" s="62"/>
      <c r="M76" s="62"/>
      <c r="N76" s="62"/>
      <c r="O76" s="62"/>
      <c r="P76" s="64"/>
      <c r="Q76" s="62"/>
      <c r="R76" s="65">
        <v>361</v>
      </c>
      <c r="S76" s="62">
        <f t="shared" si="17"/>
        <v>2066364</v>
      </c>
      <c r="T76" s="62"/>
      <c r="U76" s="62"/>
      <c r="V76" s="62"/>
      <c r="W76" s="64"/>
      <c r="X76" s="64"/>
      <c r="Y76" s="64"/>
      <c r="Z76" s="62"/>
      <c r="AA76" s="62"/>
      <c r="AB76" s="62"/>
      <c r="AC76" s="62"/>
      <c r="AD76" s="62"/>
      <c r="AE76" s="62"/>
      <c r="AF76" s="62"/>
      <c r="AG76" s="64"/>
      <c r="AH76" s="62"/>
      <c r="AI76" s="64"/>
      <c r="AJ76" s="62"/>
      <c r="AK76" s="64"/>
      <c r="AL76" s="62"/>
      <c r="AM76" s="64"/>
      <c r="AN76" s="62"/>
      <c r="AO76" s="64"/>
      <c r="AP76" s="62"/>
      <c r="AQ76" s="64"/>
      <c r="AR76" s="62">
        <v>153000</v>
      </c>
      <c r="AS76" s="68"/>
      <c r="AT76" s="62"/>
    </row>
    <row r="77" spans="1:46" s="99" customFormat="1" x14ac:dyDescent="0.3">
      <c r="A77" s="47">
        <v>43</v>
      </c>
      <c r="B77" s="48" t="s">
        <v>70</v>
      </c>
      <c r="C77" s="48" t="s">
        <v>71</v>
      </c>
      <c r="D77" s="46" t="s">
        <v>78</v>
      </c>
      <c r="E77" s="48" t="s">
        <v>120</v>
      </c>
      <c r="F77" s="47">
        <v>11</v>
      </c>
      <c r="G77" s="47"/>
      <c r="H77" s="47"/>
      <c r="I77" s="215">
        <f t="shared" si="16"/>
        <v>2213640</v>
      </c>
      <c r="J77" s="62"/>
      <c r="K77" s="62"/>
      <c r="L77" s="62"/>
      <c r="M77" s="62"/>
      <c r="N77" s="62"/>
      <c r="O77" s="62"/>
      <c r="P77" s="64"/>
      <c r="Q77" s="62"/>
      <c r="R77" s="65">
        <v>360</v>
      </c>
      <c r="S77" s="62">
        <f t="shared" si="17"/>
        <v>2060640</v>
      </c>
      <c r="T77" s="62"/>
      <c r="U77" s="62"/>
      <c r="V77" s="62"/>
      <c r="W77" s="64"/>
      <c r="X77" s="64"/>
      <c r="Y77" s="64"/>
      <c r="Z77" s="62"/>
      <c r="AA77" s="62"/>
      <c r="AB77" s="62"/>
      <c r="AC77" s="62"/>
      <c r="AD77" s="62"/>
      <c r="AE77" s="62"/>
      <c r="AF77" s="62"/>
      <c r="AG77" s="64"/>
      <c r="AH77" s="62"/>
      <c r="AI77" s="64"/>
      <c r="AJ77" s="62"/>
      <c r="AK77" s="64"/>
      <c r="AL77" s="62"/>
      <c r="AM77" s="64"/>
      <c r="AN77" s="62"/>
      <c r="AO77" s="64"/>
      <c r="AP77" s="62"/>
      <c r="AQ77" s="64"/>
      <c r="AR77" s="62">
        <v>153000</v>
      </c>
      <c r="AS77" s="68"/>
      <c r="AT77" s="62"/>
    </row>
    <row r="78" spans="1:46" s="99" customFormat="1" x14ac:dyDescent="0.3">
      <c r="A78" s="47">
        <v>44</v>
      </c>
      <c r="B78" s="48" t="s">
        <v>70</v>
      </c>
      <c r="C78" s="48" t="s">
        <v>71</v>
      </c>
      <c r="D78" s="46" t="s">
        <v>78</v>
      </c>
      <c r="E78" s="48" t="s">
        <v>121</v>
      </c>
      <c r="F78" s="47">
        <v>4</v>
      </c>
      <c r="G78" s="47"/>
      <c r="H78" s="47"/>
      <c r="I78" s="215">
        <f t="shared" si="16"/>
        <v>2207916</v>
      </c>
      <c r="J78" s="62"/>
      <c r="K78" s="62"/>
      <c r="L78" s="62"/>
      <c r="M78" s="62"/>
      <c r="N78" s="62"/>
      <c r="O78" s="62"/>
      <c r="P78" s="64"/>
      <c r="Q78" s="62"/>
      <c r="R78" s="65">
        <v>359</v>
      </c>
      <c r="S78" s="62">
        <f t="shared" si="17"/>
        <v>2054916</v>
      </c>
      <c r="T78" s="62"/>
      <c r="U78" s="62"/>
      <c r="V78" s="62"/>
      <c r="W78" s="64"/>
      <c r="X78" s="64"/>
      <c r="Y78" s="64"/>
      <c r="Z78" s="62"/>
      <c r="AA78" s="62"/>
      <c r="AB78" s="62"/>
      <c r="AC78" s="62"/>
      <c r="AD78" s="62"/>
      <c r="AE78" s="62"/>
      <c r="AF78" s="62"/>
      <c r="AG78" s="64"/>
      <c r="AH78" s="62"/>
      <c r="AI78" s="64"/>
      <c r="AJ78" s="62"/>
      <c r="AK78" s="64"/>
      <c r="AL78" s="62"/>
      <c r="AM78" s="64"/>
      <c r="AN78" s="62"/>
      <c r="AO78" s="64"/>
      <c r="AP78" s="62"/>
      <c r="AQ78" s="64"/>
      <c r="AR78" s="62">
        <v>153000</v>
      </c>
      <c r="AS78" s="68"/>
      <c r="AT78" s="62"/>
    </row>
    <row r="79" spans="1:46" s="99" customFormat="1" x14ac:dyDescent="0.3">
      <c r="A79" s="47">
        <v>45</v>
      </c>
      <c r="B79" s="48" t="s">
        <v>70</v>
      </c>
      <c r="C79" s="48" t="s">
        <v>71</v>
      </c>
      <c r="D79" s="46" t="s">
        <v>78</v>
      </c>
      <c r="E79" s="48" t="s">
        <v>121</v>
      </c>
      <c r="F79" s="47">
        <v>6</v>
      </c>
      <c r="G79" s="47"/>
      <c r="H79" s="47"/>
      <c r="I79" s="215">
        <f t="shared" si="16"/>
        <v>2204481.5999999996</v>
      </c>
      <c r="J79" s="62"/>
      <c r="K79" s="62"/>
      <c r="L79" s="62"/>
      <c r="M79" s="62"/>
      <c r="N79" s="62"/>
      <c r="O79" s="62"/>
      <c r="P79" s="64"/>
      <c r="Q79" s="62"/>
      <c r="R79" s="65">
        <v>358.4</v>
      </c>
      <c r="S79" s="62">
        <f t="shared" si="17"/>
        <v>2051481.5999999999</v>
      </c>
      <c r="T79" s="62"/>
      <c r="U79" s="62"/>
      <c r="V79" s="62"/>
      <c r="W79" s="64"/>
      <c r="X79" s="64"/>
      <c r="Y79" s="64"/>
      <c r="Z79" s="62"/>
      <c r="AA79" s="62"/>
      <c r="AB79" s="62"/>
      <c r="AC79" s="62"/>
      <c r="AD79" s="62"/>
      <c r="AE79" s="62"/>
      <c r="AF79" s="62"/>
      <c r="AG79" s="64"/>
      <c r="AH79" s="62"/>
      <c r="AI79" s="64"/>
      <c r="AJ79" s="62"/>
      <c r="AK79" s="64"/>
      <c r="AL79" s="62"/>
      <c r="AM79" s="64"/>
      <c r="AN79" s="62"/>
      <c r="AO79" s="64"/>
      <c r="AP79" s="62"/>
      <c r="AQ79" s="64"/>
      <c r="AR79" s="62">
        <v>153000</v>
      </c>
      <c r="AS79" s="68"/>
      <c r="AT79" s="62"/>
    </row>
    <row r="80" spans="1:46" s="99" customFormat="1" x14ac:dyDescent="0.3">
      <c r="A80" s="47">
        <v>46</v>
      </c>
      <c r="B80" s="48" t="s">
        <v>70</v>
      </c>
      <c r="C80" s="48" t="s">
        <v>71</v>
      </c>
      <c r="D80" s="46" t="s">
        <v>78</v>
      </c>
      <c r="E80" s="48" t="s">
        <v>91</v>
      </c>
      <c r="F80" s="47">
        <v>18</v>
      </c>
      <c r="G80" s="47"/>
      <c r="H80" s="47"/>
      <c r="I80" s="215">
        <f t="shared" ref="I80" si="18">J80+K80+L80+M80+N80+O80+Q80+S80+U80+W80+Y80+AA80+AC80+AE80+AG80+AI80+AK80+AM80+AO80+AQ80+AR80</f>
        <v>3153400</v>
      </c>
      <c r="J80" s="62"/>
      <c r="K80" s="62"/>
      <c r="L80" s="62"/>
      <c r="M80" s="62"/>
      <c r="N80" s="62"/>
      <c r="O80" s="62"/>
      <c r="P80" s="64"/>
      <c r="Q80" s="62"/>
      <c r="R80" s="345">
        <v>650</v>
      </c>
      <c r="S80" s="62">
        <f>R80*4616</f>
        <v>3000400</v>
      </c>
      <c r="T80" s="62"/>
      <c r="U80" s="62"/>
      <c r="V80" s="62"/>
      <c r="W80" s="64"/>
      <c r="X80" s="64"/>
      <c r="Y80" s="64"/>
      <c r="Z80" s="62"/>
      <c r="AA80" s="62"/>
      <c r="AB80" s="62"/>
      <c r="AC80" s="62"/>
      <c r="AD80" s="62"/>
      <c r="AE80" s="62"/>
      <c r="AF80" s="62"/>
      <c r="AG80" s="64"/>
      <c r="AH80" s="62"/>
      <c r="AI80" s="64"/>
      <c r="AJ80" s="62"/>
      <c r="AK80" s="64"/>
      <c r="AL80" s="62"/>
      <c r="AM80" s="64"/>
      <c r="AN80" s="62"/>
      <c r="AO80" s="64"/>
      <c r="AP80" s="62"/>
      <c r="AQ80" s="64"/>
      <c r="AR80" s="62">
        <v>153000</v>
      </c>
      <c r="AS80" s="62"/>
      <c r="AT80" s="62"/>
    </row>
    <row r="81" spans="1:46" s="220" customFormat="1" x14ac:dyDescent="0.3">
      <c r="A81" s="47">
        <v>47</v>
      </c>
      <c r="B81" s="48" t="s">
        <v>70</v>
      </c>
      <c r="C81" s="46" t="s">
        <v>71</v>
      </c>
      <c r="D81" s="46" t="s">
        <v>80</v>
      </c>
      <c r="E81" s="46" t="s">
        <v>91</v>
      </c>
      <c r="F81" s="47">
        <v>3</v>
      </c>
      <c r="G81" s="47"/>
      <c r="H81" s="47"/>
      <c r="I81" s="215">
        <f>J81+K81+L81+M81+N81+O81+Q81+S81+U81+W81+Z81+AB81+AD81+AF81+AH81+AJ81+AL81+AN81+AP81+AR81+AS81</f>
        <v>6153000</v>
      </c>
      <c r="J81" s="62"/>
      <c r="K81" s="62"/>
      <c r="L81" s="62"/>
      <c r="M81" s="62"/>
      <c r="N81" s="62"/>
      <c r="O81" s="62"/>
      <c r="P81" s="64">
        <v>3</v>
      </c>
      <c r="Q81" s="62">
        <f>2000000*P81</f>
        <v>6000000</v>
      </c>
      <c r="R81" s="62"/>
      <c r="S81" s="62"/>
      <c r="T81" s="62"/>
      <c r="U81" s="62"/>
      <c r="V81" s="62"/>
      <c r="W81" s="64"/>
      <c r="X81" s="64"/>
      <c r="Y81" s="64"/>
      <c r="Z81" s="64"/>
      <c r="AA81" s="62"/>
      <c r="AB81" s="62"/>
      <c r="AC81" s="62"/>
      <c r="AD81" s="62"/>
      <c r="AE81" s="62"/>
      <c r="AF81" s="62"/>
      <c r="AG81" s="64"/>
      <c r="AH81" s="62"/>
      <c r="AI81" s="64"/>
      <c r="AJ81" s="62"/>
      <c r="AK81" s="64"/>
      <c r="AL81" s="62"/>
      <c r="AM81" s="64"/>
      <c r="AN81" s="62"/>
      <c r="AO81" s="64"/>
      <c r="AP81" s="62"/>
      <c r="AQ81" s="64"/>
      <c r="AR81" s="62">
        <v>153000</v>
      </c>
      <c r="AS81" s="62"/>
      <c r="AT81" s="62"/>
    </row>
    <row r="82" spans="1:46" s="100" customFormat="1" ht="26.85" customHeight="1" x14ac:dyDescent="0.3">
      <c r="A82" s="522" t="s">
        <v>123</v>
      </c>
      <c r="B82" s="523"/>
      <c r="C82" s="523"/>
      <c r="D82" s="523"/>
      <c r="E82" s="524"/>
      <c r="F82" s="108"/>
      <c r="G82" s="108"/>
      <c r="H82" s="108"/>
      <c r="I82" s="109">
        <f>SUM(I35:I81)</f>
        <v>196725239.39999998</v>
      </c>
      <c r="J82" s="109"/>
      <c r="K82" s="109"/>
      <c r="L82" s="109"/>
      <c r="M82" s="109"/>
      <c r="N82" s="109"/>
      <c r="O82" s="109">
        <f>SUM(O35:O81)</f>
        <v>1137716.5999999999</v>
      </c>
      <c r="P82" s="110">
        <f>SUM(P35:P81)</f>
        <v>4</v>
      </c>
      <c r="Q82" s="109">
        <f>SUM(Q35:Q81)</f>
        <v>8300000</v>
      </c>
      <c r="R82" s="109">
        <f>SUM(R35:R81)</f>
        <v>33800.800000000003</v>
      </c>
      <c r="S82" s="109">
        <f>SUM(S35:S81)</f>
        <v>178669242.79999998</v>
      </c>
      <c r="T82" s="110"/>
      <c r="U82" s="111"/>
      <c r="V82" s="109"/>
      <c r="W82" s="109"/>
      <c r="X82" s="109">
        <f>SUM(X35:X81)</f>
        <v>1396</v>
      </c>
      <c r="Y82" s="109">
        <f>SUM(Y35:Y81)</f>
        <v>2345280</v>
      </c>
      <c r="Z82" s="109"/>
      <c r="AA82" s="109"/>
      <c r="AB82" s="109"/>
      <c r="AC82" s="109"/>
      <c r="AD82" s="109"/>
      <c r="AE82" s="109"/>
      <c r="AF82" s="110"/>
      <c r="AG82" s="109"/>
      <c r="AH82" s="110"/>
      <c r="AI82" s="109"/>
      <c r="AJ82" s="110"/>
      <c r="AK82" s="109"/>
      <c r="AL82" s="110"/>
      <c r="AM82" s="109"/>
      <c r="AN82" s="110"/>
      <c r="AO82" s="109"/>
      <c r="AP82" s="110"/>
      <c r="AQ82" s="109"/>
      <c r="AR82" s="109">
        <f>SUM(AR35:AR81)</f>
        <v>6273000</v>
      </c>
      <c r="AS82" s="110"/>
    </row>
    <row r="83" spans="1:46" s="100" customFormat="1" ht="18" customHeight="1" x14ac:dyDescent="0.3">
      <c r="A83" s="107"/>
      <c r="B83" s="108"/>
      <c r="C83" s="108"/>
      <c r="D83" s="108"/>
      <c r="E83" s="108"/>
      <c r="F83" s="108"/>
      <c r="G83" s="108"/>
      <c r="H83" s="108"/>
      <c r="I83" s="109"/>
      <c r="J83" s="109"/>
      <c r="K83" s="109"/>
      <c r="L83" s="109"/>
      <c r="M83" s="109"/>
      <c r="N83" s="109"/>
      <c r="O83" s="109"/>
      <c r="P83" s="110"/>
      <c r="Q83" s="109"/>
      <c r="R83" s="109"/>
      <c r="S83" s="109"/>
      <c r="T83" s="110"/>
      <c r="U83" s="111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10"/>
      <c r="AG83" s="109"/>
      <c r="AH83" s="110"/>
      <c r="AI83" s="109"/>
      <c r="AJ83" s="110"/>
      <c r="AK83" s="109"/>
      <c r="AL83" s="110"/>
      <c r="AM83" s="109"/>
      <c r="AN83" s="110"/>
      <c r="AO83" s="109"/>
      <c r="AP83" s="110"/>
      <c r="AQ83" s="109"/>
      <c r="AR83" s="109"/>
      <c r="AS83" s="110"/>
    </row>
    <row r="84" spans="1:46" s="220" customFormat="1" ht="18.600000000000001" customHeight="1" x14ac:dyDescent="0.3">
      <c r="A84" s="409"/>
      <c r="B84" s="292"/>
      <c r="C84" s="292"/>
      <c r="D84" s="292"/>
      <c r="E84" s="292"/>
      <c r="F84" s="292"/>
      <c r="G84" s="408"/>
      <c r="H84" s="292"/>
      <c r="I84" s="410"/>
      <c r="J84" s="219"/>
      <c r="K84" s="219"/>
      <c r="L84" s="219"/>
      <c r="M84" s="219"/>
      <c r="N84" s="219"/>
      <c r="O84" s="219"/>
      <c r="P84" s="288"/>
      <c r="Q84" s="219"/>
      <c r="R84" s="219"/>
      <c r="S84" s="219"/>
      <c r="T84" s="288"/>
      <c r="U84" s="294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88"/>
      <c r="AG84" s="219"/>
      <c r="AH84" s="288"/>
      <c r="AI84" s="219"/>
      <c r="AJ84" s="288"/>
      <c r="AK84" s="219"/>
      <c r="AL84" s="288"/>
      <c r="AM84" s="219"/>
      <c r="AN84" s="288"/>
      <c r="AO84" s="219"/>
      <c r="AP84" s="288"/>
      <c r="AQ84" s="219"/>
      <c r="AR84" s="219"/>
      <c r="AS84" s="288"/>
    </row>
    <row r="85" spans="1:46" s="381" customFormat="1" ht="27" customHeight="1" x14ac:dyDescent="0.3">
      <c r="A85" s="514" t="s">
        <v>143</v>
      </c>
      <c r="B85" s="515"/>
      <c r="C85" s="515"/>
      <c r="D85" s="515"/>
      <c r="E85" s="515"/>
      <c r="F85" s="515"/>
      <c r="G85" s="515"/>
      <c r="H85" s="515"/>
      <c r="I85" s="515"/>
      <c r="J85" s="515"/>
      <c r="K85" s="515"/>
      <c r="L85" s="515"/>
      <c r="M85" s="515"/>
      <c r="N85" s="515"/>
      <c r="O85" s="515"/>
      <c r="P85" s="515"/>
      <c r="Q85" s="515"/>
      <c r="R85" s="515"/>
      <c r="S85" s="515"/>
      <c r="T85" s="515"/>
      <c r="U85" s="515"/>
      <c r="V85" s="515"/>
      <c r="W85" s="515"/>
      <c r="X85" s="515"/>
      <c r="Y85" s="515"/>
      <c r="Z85" s="515"/>
      <c r="AA85" s="515"/>
      <c r="AB85" s="515"/>
      <c r="AC85" s="515"/>
      <c r="AD85" s="515"/>
      <c r="AE85" s="515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5"/>
      <c r="AS85" s="516"/>
    </row>
    <row r="86" spans="1:46" s="100" customFormat="1" x14ac:dyDescent="0.3">
      <c r="A86" s="30">
        <v>1</v>
      </c>
      <c r="B86" s="35" t="s">
        <v>70</v>
      </c>
      <c r="C86" s="35" t="s">
        <v>71</v>
      </c>
      <c r="D86" s="420" t="s">
        <v>78</v>
      </c>
      <c r="E86" s="420" t="s">
        <v>149</v>
      </c>
      <c r="F86" s="30">
        <v>25</v>
      </c>
      <c r="G86" s="387"/>
      <c r="H86" s="30"/>
      <c r="I86" s="382">
        <f t="shared" ref="I86:I90" si="19">J86+K86+L86+M86+N86+O86+Q86+S86+U86+W86+Y86+AA86+AC86+AE86+AG86+AI86+AK86+AM86+AO86+AQ86+AR86</f>
        <v>6129654</v>
      </c>
      <c r="J86" s="382"/>
      <c r="K86" s="382"/>
      <c r="L86" s="109"/>
      <c r="M86" s="109"/>
      <c r="N86" s="382"/>
      <c r="O86" s="382"/>
      <c r="P86" s="384"/>
      <c r="Q86" s="382"/>
      <c r="R86" s="382">
        <v>977</v>
      </c>
      <c r="S86" s="382">
        <f t="shared" ref="S86:S88" si="20">R86*6102</f>
        <v>5961654</v>
      </c>
      <c r="T86" s="384"/>
      <c r="U86" s="385"/>
      <c r="V86" s="382"/>
      <c r="W86" s="382"/>
      <c r="X86" s="382"/>
      <c r="Y86" s="382"/>
      <c r="Z86" s="382"/>
      <c r="AA86" s="382"/>
      <c r="AB86" s="382"/>
      <c r="AC86" s="382"/>
      <c r="AD86" s="382"/>
      <c r="AE86" s="382"/>
      <c r="AF86" s="384"/>
      <c r="AG86" s="382"/>
      <c r="AH86" s="384"/>
      <c r="AI86" s="382"/>
      <c r="AJ86" s="384"/>
      <c r="AK86" s="382"/>
      <c r="AL86" s="384"/>
      <c r="AM86" s="382"/>
      <c r="AN86" s="384"/>
      <c r="AO86" s="382"/>
      <c r="AP86" s="384"/>
      <c r="AQ86" s="382"/>
      <c r="AR86" s="219">
        <v>168000</v>
      </c>
      <c r="AS86" s="384"/>
    </row>
    <row r="87" spans="1:46" s="220" customFormat="1" x14ac:dyDescent="0.3">
      <c r="A87" s="292">
        <v>2</v>
      </c>
      <c r="B87" s="46" t="s">
        <v>70</v>
      </c>
      <c r="C87" s="46" t="s">
        <v>71</v>
      </c>
      <c r="D87" s="482" t="s">
        <v>78</v>
      </c>
      <c r="E87" s="482" t="s">
        <v>158</v>
      </c>
      <c r="F87" s="292">
        <v>13</v>
      </c>
      <c r="G87" s="408"/>
      <c r="H87" s="292"/>
      <c r="I87" s="219">
        <f>J87+K87+L87+M87+N87+O87+Q87+S87+U87+W87+Y87+AA87+AC87+AE87+AG87+AI87+AK87+AM87+AO87+AQ87+AR87</f>
        <v>7636848</v>
      </c>
      <c r="J87" s="219"/>
      <c r="K87" s="219"/>
      <c r="L87" s="216"/>
      <c r="M87" s="216"/>
      <c r="N87" s="219"/>
      <c r="O87" s="219"/>
      <c r="P87" s="288"/>
      <c r="Q87" s="219"/>
      <c r="R87" s="219">
        <v>1224</v>
      </c>
      <c r="S87" s="219">
        <f>R87*6102</f>
        <v>7468848</v>
      </c>
      <c r="T87" s="288"/>
      <c r="U87" s="294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88"/>
      <c r="AG87" s="219"/>
      <c r="AH87" s="288"/>
      <c r="AI87" s="219"/>
      <c r="AJ87" s="288"/>
      <c r="AK87" s="219"/>
      <c r="AL87" s="288"/>
      <c r="AM87" s="219"/>
      <c r="AN87" s="288"/>
      <c r="AO87" s="219"/>
      <c r="AP87" s="288"/>
      <c r="AQ87" s="219"/>
      <c r="AR87" s="219">
        <v>168000</v>
      </c>
      <c r="AS87" s="288"/>
    </row>
    <row r="88" spans="1:46" s="220" customFormat="1" x14ac:dyDescent="0.3">
      <c r="A88" s="292">
        <v>3</v>
      </c>
      <c r="B88" s="46" t="s">
        <v>70</v>
      </c>
      <c r="C88" s="46" t="s">
        <v>71</v>
      </c>
      <c r="D88" s="482" t="s">
        <v>78</v>
      </c>
      <c r="E88" s="482" t="s">
        <v>152</v>
      </c>
      <c r="F88" s="421" t="s">
        <v>157</v>
      </c>
      <c r="G88" s="408"/>
      <c r="H88" s="292"/>
      <c r="I88" s="219">
        <f t="shared" si="19"/>
        <v>2212170</v>
      </c>
      <c r="J88" s="219"/>
      <c r="K88" s="219"/>
      <c r="L88" s="216"/>
      <c r="M88" s="216"/>
      <c r="N88" s="219"/>
      <c r="O88" s="219"/>
      <c r="P88" s="288"/>
      <c r="Q88" s="219"/>
      <c r="R88" s="219">
        <v>335</v>
      </c>
      <c r="S88" s="219">
        <f t="shared" si="20"/>
        <v>2044170</v>
      </c>
      <c r="T88" s="288"/>
      <c r="U88" s="294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88"/>
      <c r="AG88" s="219"/>
      <c r="AH88" s="288"/>
      <c r="AI88" s="219"/>
      <c r="AJ88" s="288"/>
      <c r="AK88" s="219"/>
      <c r="AL88" s="288"/>
      <c r="AM88" s="219"/>
      <c r="AN88" s="288"/>
      <c r="AO88" s="219"/>
      <c r="AP88" s="288"/>
      <c r="AQ88" s="219"/>
      <c r="AR88" s="219">
        <v>168000</v>
      </c>
      <c r="AS88" s="288"/>
    </row>
    <row r="89" spans="1:46" s="100" customFormat="1" x14ac:dyDescent="0.3">
      <c r="A89" s="30">
        <v>4</v>
      </c>
      <c r="B89" s="35" t="s">
        <v>70</v>
      </c>
      <c r="C89" s="35" t="s">
        <v>71</v>
      </c>
      <c r="D89" s="35" t="s">
        <v>78</v>
      </c>
      <c r="E89" s="403" t="s">
        <v>152</v>
      </c>
      <c r="F89" s="30">
        <v>15</v>
      </c>
      <c r="G89" s="387"/>
      <c r="H89" s="30"/>
      <c r="I89" s="382">
        <f t="shared" si="19"/>
        <v>5153334</v>
      </c>
      <c r="J89" s="382"/>
      <c r="K89" s="382"/>
      <c r="L89" s="109"/>
      <c r="M89" s="109"/>
      <c r="N89" s="382"/>
      <c r="O89" s="382"/>
      <c r="P89" s="384"/>
      <c r="Q89" s="382"/>
      <c r="R89" s="382">
        <v>817</v>
      </c>
      <c r="S89" s="382">
        <f>R89*6102</f>
        <v>4985334</v>
      </c>
      <c r="T89" s="384"/>
      <c r="U89" s="385"/>
      <c r="V89" s="382"/>
      <c r="W89" s="382"/>
      <c r="X89" s="382"/>
      <c r="Y89" s="382"/>
      <c r="Z89" s="382"/>
      <c r="AA89" s="382"/>
      <c r="AB89" s="382"/>
      <c r="AC89" s="382"/>
      <c r="AD89" s="382"/>
      <c r="AE89" s="382"/>
      <c r="AF89" s="384"/>
      <c r="AG89" s="382"/>
      <c r="AH89" s="384"/>
      <c r="AI89" s="382"/>
      <c r="AJ89" s="384"/>
      <c r="AK89" s="382"/>
      <c r="AL89" s="384"/>
      <c r="AM89" s="382"/>
      <c r="AN89" s="384"/>
      <c r="AO89" s="382"/>
      <c r="AP89" s="384"/>
      <c r="AQ89" s="382"/>
      <c r="AR89" s="219">
        <v>168000</v>
      </c>
      <c r="AS89" s="384"/>
    </row>
    <row r="90" spans="1:46" s="220" customFormat="1" x14ac:dyDescent="0.3">
      <c r="A90" s="30">
        <v>5</v>
      </c>
      <c r="B90" s="46" t="s">
        <v>70</v>
      </c>
      <c r="C90" s="46" t="s">
        <v>71</v>
      </c>
      <c r="D90" s="46" t="s">
        <v>78</v>
      </c>
      <c r="E90" s="407" t="s">
        <v>85</v>
      </c>
      <c r="F90" s="421" t="s">
        <v>157</v>
      </c>
      <c r="G90" s="408"/>
      <c r="H90" s="292"/>
      <c r="I90" s="219">
        <f t="shared" si="19"/>
        <v>1296870</v>
      </c>
      <c r="J90" s="219"/>
      <c r="K90" s="219"/>
      <c r="L90" s="216"/>
      <c r="M90" s="216"/>
      <c r="N90" s="219"/>
      <c r="O90" s="219">
        <f>999*1130</f>
        <v>1128870</v>
      </c>
      <c r="P90" s="288"/>
      <c r="Q90" s="219"/>
      <c r="R90" s="219"/>
      <c r="S90" s="219"/>
      <c r="T90" s="288"/>
      <c r="U90" s="294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88"/>
      <c r="AG90" s="219"/>
      <c r="AH90" s="288"/>
      <c r="AI90" s="219"/>
      <c r="AJ90" s="288"/>
      <c r="AK90" s="219"/>
      <c r="AL90" s="288"/>
      <c r="AM90" s="219"/>
      <c r="AN90" s="288"/>
      <c r="AO90" s="219"/>
      <c r="AP90" s="288"/>
      <c r="AQ90" s="219"/>
      <c r="AR90" s="219">
        <v>168000</v>
      </c>
      <c r="AS90" s="288"/>
    </row>
    <row r="91" spans="1:46" s="100" customFormat="1" x14ac:dyDescent="0.3">
      <c r="A91" s="30">
        <v>6</v>
      </c>
      <c r="B91" s="35" t="s">
        <v>70</v>
      </c>
      <c r="C91" s="35" t="s">
        <v>71</v>
      </c>
      <c r="D91" s="35" t="s">
        <v>78</v>
      </c>
      <c r="E91" s="389" t="s">
        <v>151</v>
      </c>
      <c r="F91" s="30">
        <v>10</v>
      </c>
      <c r="G91" s="387"/>
      <c r="H91" s="30"/>
      <c r="I91" s="382">
        <f>J91+K91+L91+M91+N91+O91+Q91+S91+U91+W91+Y91+AA91+AC91+AE91+AG91+AI91+AK91+AM91+AO91+AQ91+AR91</f>
        <v>5952696</v>
      </c>
      <c r="J91" s="382"/>
      <c r="K91" s="382"/>
      <c r="L91" s="109"/>
      <c r="M91" s="382"/>
      <c r="N91" s="382"/>
      <c r="O91" s="382"/>
      <c r="P91" s="384"/>
      <c r="Q91" s="382"/>
      <c r="R91" s="382">
        <v>948</v>
      </c>
      <c r="S91" s="382">
        <f>6102*R91</f>
        <v>5784696</v>
      </c>
      <c r="T91" s="384"/>
      <c r="U91" s="385"/>
      <c r="V91" s="382"/>
      <c r="W91" s="382"/>
      <c r="X91" s="382"/>
      <c r="Y91" s="382"/>
      <c r="Z91" s="382"/>
      <c r="AA91" s="382"/>
      <c r="AB91" s="382"/>
      <c r="AC91" s="382"/>
      <c r="AD91" s="382"/>
      <c r="AE91" s="382"/>
      <c r="AF91" s="384"/>
      <c r="AG91" s="382"/>
      <c r="AH91" s="384"/>
      <c r="AI91" s="382"/>
      <c r="AJ91" s="384"/>
      <c r="AK91" s="382"/>
      <c r="AL91" s="384"/>
      <c r="AM91" s="382"/>
      <c r="AN91" s="384"/>
      <c r="AO91" s="382"/>
      <c r="AP91" s="384"/>
      <c r="AQ91" s="382"/>
      <c r="AR91" s="382">
        <v>168000</v>
      </c>
      <c r="AS91" s="384"/>
    </row>
    <row r="92" spans="1:46" s="100" customFormat="1" x14ac:dyDescent="0.3">
      <c r="A92" s="30">
        <v>7</v>
      </c>
      <c r="B92" s="35" t="s">
        <v>70</v>
      </c>
      <c r="C92" s="35" t="s">
        <v>71</v>
      </c>
      <c r="D92" s="420" t="s">
        <v>80</v>
      </c>
      <c r="E92" s="420" t="s">
        <v>86</v>
      </c>
      <c r="F92" s="30">
        <v>19</v>
      </c>
      <c r="G92" s="387"/>
      <c r="H92" s="412"/>
      <c r="I92" s="382">
        <f t="shared" ref="I92:I106" si="21">J92+K92+L92+M92+N92+O92+Q92+S92+U92+W92+Y92+AA92+AC92+AE92+AG92+AI92+AK92+AM92+AO92+AQ92+AR92</f>
        <v>6680688</v>
      </c>
      <c r="J92" s="413">
        <f>1456*488</f>
        <v>710528</v>
      </c>
      <c r="K92" s="382">
        <f>1456*1032</f>
        <v>1502592</v>
      </c>
      <c r="L92" s="382">
        <f>1456*516</f>
        <v>751296</v>
      </c>
      <c r="M92" s="382">
        <f>1456*2437</f>
        <v>3548272</v>
      </c>
      <c r="N92" s="382"/>
      <c r="O92" s="382"/>
      <c r="P92" s="384"/>
      <c r="Q92" s="382"/>
      <c r="R92" s="382"/>
      <c r="S92" s="382"/>
      <c r="T92" s="384"/>
      <c r="U92" s="385"/>
      <c r="V92" s="382"/>
      <c r="W92" s="382"/>
      <c r="X92" s="382"/>
      <c r="Y92" s="382"/>
      <c r="Z92" s="382"/>
      <c r="AA92" s="382"/>
      <c r="AB92" s="382"/>
      <c r="AC92" s="382"/>
      <c r="AD92" s="382"/>
      <c r="AE92" s="382"/>
      <c r="AF92" s="384"/>
      <c r="AG92" s="382"/>
      <c r="AH92" s="384"/>
      <c r="AI92" s="382"/>
      <c r="AJ92" s="384"/>
      <c r="AK92" s="382"/>
      <c r="AL92" s="384"/>
      <c r="AM92" s="382"/>
      <c r="AN92" s="384"/>
      <c r="AO92" s="382"/>
      <c r="AP92" s="384"/>
      <c r="AQ92" s="382"/>
      <c r="AR92" s="382">
        <v>168000</v>
      </c>
      <c r="AS92" s="384"/>
    </row>
    <row r="93" spans="1:46" s="100" customFormat="1" x14ac:dyDescent="0.3">
      <c r="A93" s="30">
        <v>8</v>
      </c>
      <c r="B93" s="35" t="s">
        <v>70</v>
      </c>
      <c r="C93" s="35" t="s">
        <v>71</v>
      </c>
      <c r="D93" s="35" t="s">
        <v>78</v>
      </c>
      <c r="E93" s="389" t="s">
        <v>148</v>
      </c>
      <c r="F93" s="30">
        <v>19</v>
      </c>
      <c r="G93" s="387"/>
      <c r="H93" s="30"/>
      <c r="I93" s="382">
        <f t="shared" si="21"/>
        <v>9313994</v>
      </c>
      <c r="J93" s="382"/>
      <c r="K93" s="382"/>
      <c r="L93" s="109"/>
      <c r="M93" s="382"/>
      <c r="N93" s="382"/>
      <c r="O93" s="382"/>
      <c r="P93" s="384"/>
      <c r="Q93" s="382"/>
      <c r="R93" s="382">
        <v>1243</v>
      </c>
      <c r="S93" s="382">
        <f>7358*R93</f>
        <v>9145994</v>
      </c>
      <c r="T93" s="384"/>
      <c r="U93" s="385"/>
      <c r="V93" s="382"/>
      <c r="W93" s="382"/>
      <c r="X93" s="382"/>
      <c r="Y93" s="382"/>
      <c r="Z93" s="382"/>
      <c r="AA93" s="382"/>
      <c r="AB93" s="382"/>
      <c r="AC93" s="382"/>
      <c r="AD93" s="382"/>
      <c r="AE93" s="382"/>
      <c r="AF93" s="384"/>
      <c r="AG93" s="382"/>
      <c r="AH93" s="384"/>
      <c r="AI93" s="382"/>
      <c r="AJ93" s="384"/>
      <c r="AK93" s="382"/>
      <c r="AL93" s="384"/>
      <c r="AM93" s="382"/>
      <c r="AN93" s="384"/>
      <c r="AO93" s="382"/>
      <c r="AP93" s="384"/>
      <c r="AQ93" s="382"/>
      <c r="AR93" s="382">
        <v>168000</v>
      </c>
      <c r="AS93" s="384"/>
    </row>
    <row r="94" spans="1:46" s="100" customFormat="1" x14ac:dyDescent="0.3">
      <c r="A94" s="30">
        <v>9</v>
      </c>
      <c r="B94" s="35" t="s">
        <v>70</v>
      </c>
      <c r="C94" s="35" t="s">
        <v>71</v>
      </c>
      <c r="D94" s="35" t="s">
        <v>78</v>
      </c>
      <c r="E94" s="389" t="s">
        <v>147</v>
      </c>
      <c r="F94" s="30">
        <v>3</v>
      </c>
      <c r="G94" s="387"/>
      <c r="H94" s="30"/>
      <c r="I94" s="382">
        <f t="shared" si="21"/>
        <v>4472430</v>
      </c>
      <c r="J94" s="382"/>
      <c r="K94" s="382"/>
      <c r="L94" s="109"/>
      <c r="M94" s="382"/>
      <c r="N94" s="382"/>
      <c r="O94" s="382"/>
      <c r="P94" s="384"/>
      <c r="Q94" s="382"/>
      <c r="R94" s="382">
        <v>585</v>
      </c>
      <c r="S94" s="382">
        <f t="shared" ref="S94" si="22">7358*R94</f>
        <v>4304430</v>
      </c>
      <c r="T94" s="384"/>
      <c r="U94" s="385"/>
      <c r="V94" s="382"/>
      <c r="W94" s="382"/>
      <c r="X94" s="382"/>
      <c r="Y94" s="382"/>
      <c r="Z94" s="382"/>
      <c r="AA94" s="382"/>
      <c r="AB94" s="382"/>
      <c r="AC94" s="382"/>
      <c r="AD94" s="382"/>
      <c r="AE94" s="382"/>
      <c r="AF94" s="384"/>
      <c r="AG94" s="382"/>
      <c r="AH94" s="384"/>
      <c r="AI94" s="382"/>
      <c r="AJ94" s="384"/>
      <c r="AK94" s="382"/>
      <c r="AL94" s="384"/>
      <c r="AM94" s="382"/>
      <c r="AN94" s="384"/>
      <c r="AO94" s="382"/>
      <c r="AP94" s="384"/>
      <c r="AQ94" s="382"/>
      <c r="AR94" s="382">
        <v>168000</v>
      </c>
      <c r="AS94" s="384"/>
    </row>
    <row r="95" spans="1:46" s="100" customFormat="1" x14ac:dyDescent="0.3">
      <c r="A95" s="30">
        <v>10</v>
      </c>
      <c r="B95" s="35" t="s">
        <v>70</v>
      </c>
      <c r="C95" s="35" t="s">
        <v>71</v>
      </c>
      <c r="D95" s="420" t="s">
        <v>78</v>
      </c>
      <c r="E95" s="420" t="s">
        <v>147</v>
      </c>
      <c r="F95" s="30">
        <v>15</v>
      </c>
      <c r="G95" s="387"/>
      <c r="H95" s="30"/>
      <c r="I95" s="382">
        <f t="shared" si="21"/>
        <v>10822092</v>
      </c>
      <c r="J95" s="382"/>
      <c r="K95" s="382"/>
      <c r="L95" s="109"/>
      <c r="M95" s="382"/>
      <c r="N95" s="382"/>
      <c r="O95" s="382"/>
      <c r="P95" s="384"/>
      <c r="Q95" s="382"/>
      <c r="R95" s="382">
        <v>1746</v>
      </c>
      <c r="S95" s="382">
        <f t="shared" ref="S95:S97" si="23">R95*6102</f>
        <v>10654092</v>
      </c>
      <c r="T95" s="384"/>
      <c r="U95" s="385"/>
      <c r="V95" s="382"/>
      <c r="W95" s="382"/>
      <c r="X95" s="382"/>
      <c r="Y95" s="382"/>
      <c r="Z95" s="382"/>
      <c r="AA95" s="382"/>
      <c r="AB95" s="382"/>
      <c r="AC95" s="382"/>
      <c r="AD95" s="382"/>
      <c r="AE95" s="382"/>
      <c r="AF95" s="384"/>
      <c r="AG95" s="382"/>
      <c r="AH95" s="384"/>
      <c r="AI95" s="382"/>
      <c r="AJ95" s="384"/>
      <c r="AK95" s="382"/>
      <c r="AL95" s="384"/>
      <c r="AM95" s="382"/>
      <c r="AN95" s="384"/>
      <c r="AO95" s="382"/>
      <c r="AP95" s="384"/>
      <c r="AQ95" s="382"/>
      <c r="AR95" s="219">
        <v>168000</v>
      </c>
      <c r="AS95" s="384"/>
    </row>
    <row r="96" spans="1:46" s="100" customFormat="1" x14ac:dyDescent="0.3">
      <c r="A96" s="30">
        <v>11</v>
      </c>
      <c r="B96" s="35" t="s">
        <v>70</v>
      </c>
      <c r="C96" s="35" t="s">
        <v>71</v>
      </c>
      <c r="D96" s="420" t="s">
        <v>78</v>
      </c>
      <c r="E96" s="420" t="s">
        <v>147</v>
      </c>
      <c r="F96" s="30">
        <v>38</v>
      </c>
      <c r="G96" s="387"/>
      <c r="H96" s="30"/>
      <c r="I96" s="382">
        <f t="shared" si="21"/>
        <v>5470638</v>
      </c>
      <c r="J96" s="382"/>
      <c r="K96" s="382"/>
      <c r="L96" s="109"/>
      <c r="M96" s="382"/>
      <c r="N96" s="382"/>
      <c r="O96" s="382"/>
      <c r="P96" s="384"/>
      <c r="Q96" s="382"/>
      <c r="R96" s="382">
        <v>869</v>
      </c>
      <c r="S96" s="382">
        <f t="shared" si="23"/>
        <v>5302638</v>
      </c>
      <c r="T96" s="384"/>
      <c r="U96" s="385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4"/>
      <c r="AG96" s="382"/>
      <c r="AH96" s="384"/>
      <c r="AI96" s="382"/>
      <c r="AJ96" s="384"/>
      <c r="AK96" s="382"/>
      <c r="AL96" s="384"/>
      <c r="AM96" s="382"/>
      <c r="AN96" s="384"/>
      <c r="AO96" s="382"/>
      <c r="AP96" s="384"/>
      <c r="AQ96" s="382"/>
      <c r="AR96" s="219">
        <v>168000</v>
      </c>
      <c r="AS96" s="384"/>
    </row>
    <row r="97" spans="1:45" s="100" customFormat="1" x14ac:dyDescent="0.3">
      <c r="A97" s="30">
        <v>12</v>
      </c>
      <c r="B97" s="35" t="s">
        <v>70</v>
      </c>
      <c r="C97" s="35" t="s">
        <v>71</v>
      </c>
      <c r="D97" s="420" t="s">
        <v>78</v>
      </c>
      <c r="E97" s="420" t="s">
        <v>147</v>
      </c>
      <c r="F97" s="30">
        <v>40</v>
      </c>
      <c r="G97" s="387"/>
      <c r="H97" s="30"/>
      <c r="I97" s="382">
        <f t="shared" si="21"/>
        <v>5495046</v>
      </c>
      <c r="J97" s="382"/>
      <c r="K97" s="382"/>
      <c r="L97" s="109"/>
      <c r="M97" s="382"/>
      <c r="N97" s="382"/>
      <c r="O97" s="382"/>
      <c r="P97" s="384"/>
      <c r="Q97" s="382"/>
      <c r="R97" s="382">
        <v>873</v>
      </c>
      <c r="S97" s="382">
        <f t="shared" si="23"/>
        <v>5327046</v>
      </c>
      <c r="T97" s="384"/>
      <c r="U97" s="385"/>
      <c r="V97" s="382"/>
      <c r="W97" s="382"/>
      <c r="X97" s="382"/>
      <c r="Y97" s="382"/>
      <c r="Z97" s="382"/>
      <c r="AA97" s="382"/>
      <c r="AB97" s="382"/>
      <c r="AC97" s="382"/>
      <c r="AD97" s="382"/>
      <c r="AE97" s="382"/>
      <c r="AF97" s="384"/>
      <c r="AG97" s="382"/>
      <c r="AH97" s="384"/>
      <c r="AI97" s="382"/>
      <c r="AJ97" s="384"/>
      <c r="AK97" s="382"/>
      <c r="AL97" s="384"/>
      <c r="AM97" s="382"/>
      <c r="AN97" s="384"/>
      <c r="AO97" s="382"/>
      <c r="AP97" s="384"/>
      <c r="AQ97" s="382"/>
      <c r="AR97" s="219">
        <v>168000</v>
      </c>
      <c r="AS97" s="384"/>
    </row>
    <row r="98" spans="1:45" s="100" customFormat="1" ht="19.149999999999999" customHeight="1" x14ac:dyDescent="0.3">
      <c r="A98" s="30">
        <v>13</v>
      </c>
      <c r="B98" s="35" t="s">
        <v>70</v>
      </c>
      <c r="C98" s="35" t="s">
        <v>71</v>
      </c>
      <c r="D98" s="35" t="s">
        <v>78</v>
      </c>
      <c r="E98" s="422" t="s">
        <v>147</v>
      </c>
      <c r="F98" s="292">
        <v>52</v>
      </c>
      <c r="G98" s="387"/>
      <c r="H98" s="30"/>
      <c r="I98" s="382">
        <f t="shared" si="21"/>
        <v>9656610</v>
      </c>
      <c r="J98" s="382"/>
      <c r="K98" s="382"/>
      <c r="L98" s="109"/>
      <c r="M98" s="382"/>
      <c r="N98" s="382"/>
      <c r="O98" s="382"/>
      <c r="P98" s="384"/>
      <c r="Q98" s="382"/>
      <c r="R98" s="382">
        <v>1555</v>
      </c>
      <c r="S98" s="382">
        <f t="shared" ref="S98" si="24">6102*R98</f>
        <v>9488610</v>
      </c>
      <c r="T98" s="384"/>
      <c r="U98" s="385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4"/>
      <c r="AG98" s="382"/>
      <c r="AH98" s="384"/>
      <c r="AI98" s="382"/>
      <c r="AJ98" s="384"/>
      <c r="AK98" s="382"/>
      <c r="AL98" s="384"/>
      <c r="AM98" s="382"/>
      <c r="AN98" s="384"/>
      <c r="AO98" s="382"/>
      <c r="AP98" s="384"/>
      <c r="AQ98" s="382"/>
      <c r="AR98" s="382">
        <v>168000</v>
      </c>
      <c r="AS98" s="384"/>
    </row>
    <row r="99" spans="1:45" s="100" customFormat="1" x14ac:dyDescent="0.3">
      <c r="A99" s="30">
        <v>14</v>
      </c>
      <c r="B99" s="35" t="s">
        <v>70</v>
      </c>
      <c r="C99" s="35" t="s">
        <v>71</v>
      </c>
      <c r="D99" s="35" t="s">
        <v>78</v>
      </c>
      <c r="E99" s="403" t="s">
        <v>147</v>
      </c>
      <c r="F99" s="30">
        <v>54</v>
      </c>
      <c r="G99" s="387"/>
      <c r="H99" s="30"/>
      <c r="I99" s="382">
        <f t="shared" si="21"/>
        <v>3092400</v>
      </c>
      <c r="J99" s="382"/>
      <c r="K99" s="382"/>
      <c r="L99" s="109"/>
      <c r="M99" s="382">
        <f>1200*2437</f>
        <v>2924400</v>
      </c>
      <c r="N99" s="382"/>
      <c r="O99" s="382"/>
      <c r="P99" s="384"/>
      <c r="Q99" s="382"/>
      <c r="R99" s="382"/>
      <c r="S99" s="382"/>
      <c r="T99" s="384"/>
      <c r="U99" s="385"/>
      <c r="V99" s="382"/>
      <c r="W99" s="382"/>
      <c r="X99" s="382"/>
      <c r="Y99" s="382"/>
      <c r="Z99" s="382"/>
      <c r="AA99" s="382"/>
      <c r="AB99" s="382"/>
      <c r="AC99" s="382"/>
      <c r="AD99" s="382"/>
      <c r="AE99" s="382"/>
      <c r="AF99" s="384"/>
      <c r="AG99" s="382"/>
      <c r="AH99" s="384"/>
      <c r="AI99" s="382"/>
      <c r="AJ99" s="384"/>
      <c r="AK99" s="382"/>
      <c r="AL99" s="384"/>
      <c r="AM99" s="382"/>
      <c r="AN99" s="384"/>
      <c r="AO99" s="382"/>
      <c r="AP99" s="384"/>
      <c r="AQ99" s="382"/>
      <c r="AR99" s="219">
        <v>168000</v>
      </c>
      <c r="AS99" s="384"/>
    </row>
    <row r="100" spans="1:45" s="100" customFormat="1" x14ac:dyDescent="0.3">
      <c r="A100" s="30">
        <v>15</v>
      </c>
      <c r="B100" s="35" t="s">
        <v>70</v>
      </c>
      <c r="C100" s="35" t="s">
        <v>71</v>
      </c>
      <c r="D100" s="420" t="s">
        <v>72</v>
      </c>
      <c r="E100" s="420" t="s">
        <v>73</v>
      </c>
      <c r="F100" s="404" t="s">
        <v>159</v>
      </c>
      <c r="G100" s="30"/>
      <c r="H100" s="30"/>
      <c r="I100" s="382">
        <f t="shared" si="21"/>
        <v>7823375</v>
      </c>
      <c r="J100" s="382"/>
      <c r="K100" s="382"/>
      <c r="L100" s="109"/>
      <c r="M100" s="109"/>
      <c r="N100" s="382"/>
      <c r="O100" s="382"/>
      <c r="P100" s="415"/>
      <c r="Q100" s="382"/>
      <c r="R100" s="382"/>
      <c r="S100" s="382"/>
      <c r="T100" s="384"/>
      <c r="U100" s="385"/>
      <c r="V100" s="382">
        <v>1625</v>
      </c>
      <c r="W100" s="382">
        <f t="shared" ref="W100" si="25">V100*4711</f>
        <v>7655375</v>
      </c>
      <c r="X100" s="382"/>
      <c r="Y100" s="382"/>
      <c r="Z100" s="382"/>
      <c r="AA100" s="382"/>
      <c r="AB100" s="382"/>
      <c r="AC100" s="382"/>
      <c r="AD100" s="382"/>
      <c r="AE100" s="382"/>
      <c r="AF100" s="384"/>
      <c r="AG100" s="382"/>
      <c r="AH100" s="384"/>
      <c r="AI100" s="382"/>
      <c r="AJ100" s="384"/>
      <c r="AK100" s="382"/>
      <c r="AL100" s="384"/>
      <c r="AM100" s="382"/>
      <c r="AN100" s="384"/>
      <c r="AO100" s="382"/>
      <c r="AP100" s="384"/>
      <c r="AQ100" s="382"/>
      <c r="AR100" s="382">
        <v>168000</v>
      </c>
      <c r="AS100" s="384"/>
    </row>
    <row r="101" spans="1:45" s="100" customFormat="1" x14ac:dyDescent="0.3">
      <c r="A101" s="30">
        <v>16</v>
      </c>
      <c r="B101" s="35" t="s">
        <v>70</v>
      </c>
      <c r="C101" s="35" t="s">
        <v>71</v>
      </c>
      <c r="D101" s="388" t="s">
        <v>72</v>
      </c>
      <c r="E101" s="389" t="s">
        <v>145</v>
      </c>
      <c r="F101" s="30">
        <v>30</v>
      </c>
      <c r="G101" s="387"/>
      <c r="H101" s="30"/>
      <c r="I101" s="382">
        <f t="shared" si="21"/>
        <v>7849752</v>
      </c>
      <c r="J101" s="382"/>
      <c r="K101" s="382"/>
      <c r="L101" s="109"/>
      <c r="M101" s="109"/>
      <c r="N101" s="382"/>
      <c r="O101" s="382"/>
      <c r="P101" s="384"/>
      <c r="Q101" s="382"/>
      <c r="R101" s="382">
        <v>1044</v>
      </c>
      <c r="S101" s="382">
        <f t="shared" ref="S101:S102" si="26">7358*R101</f>
        <v>7681752</v>
      </c>
      <c r="T101" s="384"/>
      <c r="U101" s="385"/>
      <c r="V101" s="382"/>
      <c r="W101" s="382"/>
      <c r="X101" s="382"/>
      <c r="Y101" s="382"/>
      <c r="Z101" s="382"/>
      <c r="AA101" s="382"/>
      <c r="AB101" s="382"/>
      <c r="AC101" s="382"/>
      <c r="AD101" s="382"/>
      <c r="AE101" s="382"/>
      <c r="AF101" s="384"/>
      <c r="AG101" s="382"/>
      <c r="AH101" s="384"/>
      <c r="AI101" s="382"/>
      <c r="AJ101" s="384"/>
      <c r="AK101" s="382"/>
      <c r="AL101" s="384"/>
      <c r="AM101" s="382"/>
      <c r="AN101" s="384"/>
      <c r="AO101" s="382"/>
      <c r="AP101" s="384"/>
      <c r="AQ101" s="382"/>
      <c r="AR101" s="382">
        <v>168000</v>
      </c>
      <c r="AS101" s="384"/>
    </row>
    <row r="102" spans="1:45" s="100" customFormat="1" x14ac:dyDescent="0.3">
      <c r="A102" s="30">
        <v>17</v>
      </c>
      <c r="B102" s="35" t="s">
        <v>70</v>
      </c>
      <c r="C102" s="35" t="s">
        <v>71</v>
      </c>
      <c r="D102" s="388" t="s">
        <v>72</v>
      </c>
      <c r="E102" s="389" t="s">
        <v>145</v>
      </c>
      <c r="F102" s="30">
        <v>44</v>
      </c>
      <c r="G102" s="387"/>
      <c r="H102" s="30"/>
      <c r="I102" s="382">
        <f t="shared" si="21"/>
        <v>15406418</v>
      </c>
      <c r="J102" s="382"/>
      <c r="K102" s="382"/>
      <c r="L102" s="109"/>
      <c r="M102" s="109"/>
      <c r="N102" s="382"/>
      <c r="O102" s="382"/>
      <c r="P102" s="384"/>
      <c r="Q102" s="382"/>
      <c r="R102" s="382">
        <v>2071</v>
      </c>
      <c r="S102" s="382">
        <f t="shared" si="26"/>
        <v>15238418</v>
      </c>
      <c r="T102" s="384"/>
      <c r="U102" s="385"/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4"/>
      <c r="AG102" s="382"/>
      <c r="AH102" s="384"/>
      <c r="AI102" s="382"/>
      <c r="AJ102" s="384"/>
      <c r="AK102" s="382"/>
      <c r="AL102" s="384"/>
      <c r="AM102" s="382"/>
      <c r="AN102" s="384"/>
      <c r="AO102" s="382"/>
      <c r="AP102" s="384"/>
      <c r="AQ102" s="382"/>
      <c r="AR102" s="382">
        <v>168000</v>
      </c>
      <c r="AS102" s="384"/>
    </row>
    <row r="103" spans="1:45" s="100" customFormat="1" x14ac:dyDescent="0.3">
      <c r="A103" s="30">
        <v>18</v>
      </c>
      <c r="B103" s="35" t="s">
        <v>70</v>
      </c>
      <c r="C103" s="35" t="s">
        <v>71</v>
      </c>
      <c r="D103" s="420" t="s">
        <v>72</v>
      </c>
      <c r="E103" s="420" t="s">
        <v>73</v>
      </c>
      <c r="F103" s="30">
        <v>50</v>
      </c>
      <c r="G103" s="387"/>
      <c r="H103" s="30"/>
      <c r="I103" s="414">
        <f t="shared" si="21"/>
        <v>11545065</v>
      </c>
      <c r="J103" s="382"/>
      <c r="K103" s="382"/>
      <c r="L103" s="109"/>
      <c r="M103" s="109"/>
      <c r="N103" s="382"/>
      <c r="O103" s="382"/>
      <c r="P103" s="384"/>
      <c r="Q103" s="382"/>
      <c r="R103" s="382"/>
      <c r="S103" s="382"/>
      <c r="T103" s="384"/>
      <c r="U103" s="385"/>
      <c r="V103" s="382">
        <v>2415</v>
      </c>
      <c r="W103" s="382">
        <f t="shared" ref="W103" si="27">V103*4711</f>
        <v>11377065</v>
      </c>
      <c r="X103" s="382"/>
      <c r="Y103" s="382"/>
      <c r="Z103" s="382"/>
      <c r="AA103" s="382"/>
      <c r="AB103" s="382"/>
      <c r="AC103" s="382"/>
      <c r="AD103" s="382"/>
      <c r="AE103" s="382"/>
      <c r="AF103" s="384"/>
      <c r="AG103" s="382"/>
      <c r="AH103" s="384"/>
      <c r="AI103" s="382"/>
      <c r="AJ103" s="384"/>
      <c r="AK103" s="382"/>
      <c r="AL103" s="384"/>
      <c r="AM103" s="382"/>
      <c r="AN103" s="384"/>
      <c r="AO103" s="382"/>
      <c r="AP103" s="384"/>
      <c r="AQ103" s="382"/>
      <c r="AR103" s="382">
        <v>168000</v>
      </c>
      <c r="AS103" s="384"/>
    </row>
    <row r="104" spans="1:45" s="100" customFormat="1" ht="21.75" customHeight="1" x14ac:dyDescent="0.3">
      <c r="A104" s="30">
        <v>19</v>
      </c>
      <c r="B104" s="35" t="s">
        <v>70</v>
      </c>
      <c r="C104" s="35" t="s">
        <v>71</v>
      </c>
      <c r="D104" s="388" t="s">
        <v>72</v>
      </c>
      <c r="E104" s="389" t="s">
        <v>145</v>
      </c>
      <c r="F104" s="30">
        <v>55</v>
      </c>
      <c r="G104" s="387"/>
      <c r="H104" s="30"/>
      <c r="I104" s="382">
        <f t="shared" si="21"/>
        <v>4465072</v>
      </c>
      <c r="J104" s="382"/>
      <c r="K104" s="382"/>
      <c r="L104" s="109"/>
      <c r="M104" s="109"/>
      <c r="N104" s="382"/>
      <c r="O104" s="382"/>
      <c r="P104" s="384"/>
      <c r="Q104" s="382"/>
      <c r="R104" s="382">
        <v>584</v>
      </c>
      <c r="S104" s="382">
        <f>7358*R104</f>
        <v>4297072</v>
      </c>
      <c r="T104" s="384"/>
      <c r="U104" s="385"/>
      <c r="V104" s="382"/>
      <c r="W104" s="382"/>
      <c r="X104" s="382"/>
      <c r="Y104" s="382"/>
      <c r="Z104" s="382"/>
      <c r="AA104" s="382"/>
      <c r="AB104" s="382"/>
      <c r="AC104" s="382"/>
      <c r="AD104" s="382"/>
      <c r="AE104" s="382"/>
      <c r="AF104" s="384"/>
      <c r="AG104" s="382"/>
      <c r="AH104" s="384"/>
      <c r="AI104" s="382"/>
      <c r="AJ104" s="384"/>
      <c r="AK104" s="382"/>
      <c r="AL104" s="384"/>
      <c r="AM104" s="382"/>
      <c r="AN104" s="384"/>
      <c r="AO104" s="382"/>
      <c r="AP104" s="384"/>
      <c r="AQ104" s="382"/>
      <c r="AR104" s="382">
        <v>168000</v>
      </c>
      <c r="AS104" s="384"/>
    </row>
    <row r="105" spans="1:45" s="100" customFormat="1" ht="21.75" customHeight="1" x14ac:dyDescent="0.3">
      <c r="A105" s="30">
        <v>20</v>
      </c>
      <c r="B105" s="35" t="s">
        <v>70</v>
      </c>
      <c r="C105" s="35" t="s">
        <v>71</v>
      </c>
      <c r="D105" s="388" t="s">
        <v>72</v>
      </c>
      <c r="E105" s="389" t="s">
        <v>145</v>
      </c>
      <c r="F105" s="30">
        <v>59</v>
      </c>
      <c r="G105" s="387"/>
      <c r="H105" s="30"/>
      <c r="I105" s="382">
        <f t="shared" si="21"/>
        <v>11653838</v>
      </c>
      <c r="J105" s="382"/>
      <c r="K105" s="382"/>
      <c r="L105" s="109"/>
      <c r="M105" s="109"/>
      <c r="N105" s="382"/>
      <c r="O105" s="382"/>
      <c r="P105" s="384"/>
      <c r="Q105" s="382"/>
      <c r="R105" s="382">
        <v>1561</v>
      </c>
      <c r="S105" s="382">
        <f t="shared" ref="S105:S106" si="28">7358*R105</f>
        <v>11485838</v>
      </c>
      <c r="T105" s="384"/>
      <c r="U105" s="385"/>
      <c r="V105" s="382"/>
      <c r="W105" s="382"/>
      <c r="X105" s="382"/>
      <c r="Y105" s="382"/>
      <c r="Z105" s="382"/>
      <c r="AA105" s="382"/>
      <c r="AB105" s="382"/>
      <c r="AC105" s="382"/>
      <c r="AD105" s="382"/>
      <c r="AE105" s="382"/>
      <c r="AF105" s="384"/>
      <c r="AG105" s="382"/>
      <c r="AH105" s="384"/>
      <c r="AI105" s="382"/>
      <c r="AJ105" s="384"/>
      <c r="AK105" s="382"/>
      <c r="AL105" s="384"/>
      <c r="AM105" s="382"/>
      <c r="AN105" s="384"/>
      <c r="AO105" s="382"/>
      <c r="AP105" s="384"/>
      <c r="AQ105" s="382"/>
      <c r="AR105" s="382">
        <v>168000</v>
      </c>
      <c r="AS105" s="384"/>
    </row>
    <row r="106" spans="1:45" s="100" customFormat="1" ht="25.5" customHeight="1" x14ac:dyDescent="0.3">
      <c r="A106" s="30">
        <v>21</v>
      </c>
      <c r="B106" s="35" t="s">
        <v>70</v>
      </c>
      <c r="C106" s="35" t="s">
        <v>71</v>
      </c>
      <c r="D106" s="388" t="s">
        <v>72</v>
      </c>
      <c r="E106" s="389" t="s">
        <v>145</v>
      </c>
      <c r="F106" s="30">
        <v>61</v>
      </c>
      <c r="G106" s="387"/>
      <c r="H106" s="30"/>
      <c r="I106" s="382">
        <f t="shared" si="21"/>
        <v>4546010</v>
      </c>
      <c r="J106" s="382"/>
      <c r="K106" s="382"/>
      <c r="L106" s="109"/>
      <c r="M106" s="109"/>
      <c r="N106" s="382"/>
      <c r="O106" s="382"/>
      <c r="P106" s="384"/>
      <c r="Q106" s="382"/>
      <c r="R106" s="382">
        <v>595</v>
      </c>
      <c r="S106" s="382">
        <f t="shared" si="28"/>
        <v>4378010</v>
      </c>
      <c r="T106" s="384"/>
      <c r="U106" s="385"/>
      <c r="V106" s="382"/>
      <c r="W106" s="382"/>
      <c r="X106" s="382"/>
      <c r="Y106" s="382"/>
      <c r="Z106" s="382"/>
      <c r="AA106" s="382"/>
      <c r="AB106" s="382"/>
      <c r="AC106" s="382"/>
      <c r="AD106" s="382"/>
      <c r="AE106" s="382"/>
      <c r="AF106" s="384"/>
      <c r="AG106" s="382"/>
      <c r="AH106" s="384"/>
      <c r="AI106" s="382"/>
      <c r="AJ106" s="384"/>
      <c r="AK106" s="382"/>
      <c r="AL106" s="384"/>
      <c r="AM106" s="382"/>
      <c r="AN106" s="384"/>
      <c r="AO106" s="382"/>
      <c r="AP106" s="384"/>
      <c r="AQ106" s="382"/>
      <c r="AR106" s="382">
        <v>168000</v>
      </c>
      <c r="AS106" s="384"/>
    </row>
    <row r="107" spans="1:45" s="100" customFormat="1" ht="21.6" customHeight="1" x14ac:dyDescent="0.3">
      <c r="A107" s="30">
        <v>22</v>
      </c>
      <c r="B107" s="35" t="s">
        <v>70</v>
      </c>
      <c r="C107" s="35" t="s">
        <v>71</v>
      </c>
      <c r="D107" s="388" t="s">
        <v>72</v>
      </c>
      <c r="E107" s="389" t="s">
        <v>122</v>
      </c>
      <c r="F107" s="30">
        <v>108</v>
      </c>
      <c r="G107" s="387"/>
      <c r="H107" s="30"/>
      <c r="I107" s="382">
        <f t="shared" ref="I107:I115" si="29">J107+K107+L107+M107+N107+O107+Q107+S107+U107+W107+Y107+AA107+AC107+AE107+AG107+AI107+AK107+AM107+AO107+AQ107+AR107</f>
        <v>231546</v>
      </c>
      <c r="J107" s="382"/>
      <c r="K107" s="382"/>
      <c r="L107" s="109"/>
      <c r="M107" s="109"/>
      <c r="N107" s="382"/>
      <c r="O107" s="382"/>
      <c r="P107" s="384"/>
      <c r="Q107" s="382"/>
      <c r="R107" s="382"/>
      <c r="S107" s="382"/>
      <c r="T107" s="384"/>
      <c r="U107" s="385"/>
      <c r="V107" s="382"/>
      <c r="W107" s="382"/>
      <c r="X107" s="382">
        <v>74</v>
      </c>
      <c r="Y107" s="382">
        <f t="shared" ref="Y107" si="30">3129*X107</f>
        <v>231546</v>
      </c>
      <c r="Z107" s="382"/>
      <c r="AA107" s="382"/>
      <c r="AB107" s="382"/>
      <c r="AC107" s="382"/>
      <c r="AD107" s="382"/>
      <c r="AE107" s="382"/>
      <c r="AF107" s="384"/>
      <c r="AG107" s="382"/>
      <c r="AH107" s="384"/>
      <c r="AI107" s="382"/>
      <c r="AJ107" s="384"/>
      <c r="AK107" s="382"/>
      <c r="AL107" s="384"/>
      <c r="AM107" s="382"/>
      <c r="AN107" s="384"/>
      <c r="AO107" s="382"/>
      <c r="AP107" s="384"/>
      <c r="AQ107" s="382"/>
      <c r="AR107" s="382"/>
      <c r="AS107" s="384"/>
    </row>
    <row r="108" spans="1:45" s="100" customFormat="1" ht="27" customHeight="1" x14ac:dyDescent="0.3">
      <c r="A108" s="30">
        <v>23</v>
      </c>
      <c r="B108" s="35" t="s">
        <v>70</v>
      </c>
      <c r="C108" s="35" t="s">
        <v>71</v>
      </c>
      <c r="D108" s="388" t="s">
        <v>72</v>
      </c>
      <c r="E108" s="420" t="s">
        <v>73</v>
      </c>
      <c r="F108" s="404" t="s">
        <v>156</v>
      </c>
      <c r="G108" s="387"/>
      <c r="H108" s="30"/>
      <c r="I108" s="382">
        <f t="shared" si="29"/>
        <v>3884118</v>
      </c>
      <c r="J108" s="382"/>
      <c r="K108" s="382"/>
      <c r="L108" s="109"/>
      <c r="M108" s="109"/>
      <c r="N108" s="382"/>
      <c r="O108" s="382"/>
      <c r="P108" s="384"/>
      <c r="Q108" s="382"/>
      <c r="R108" s="382">
        <v>609</v>
      </c>
      <c r="S108" s="382">
        <f t="shared" ref="S108:S110" si="31">R108*6102</f>
        <v>3716118</v>
      </c>
      <c r="T108" s="384"/>
      <c r="U108" s="385"/>
      <c r="V108" s="382"/>
      <c r="W108" s="382"/>
      <c r="X108" s="382"/>
      <c r="Y108" s="382"/>
      <c r="Z108" s="382"/>
      <c r="AA108" s="382"/>
      <c r="AB108" s="382"/>
      <c r="AC108" s="382"/>
      <c r="AD108" s="382"/>
      <c r="AE108" s="382"/>
      <c r="AF108" s="384"/>
      <c r="AG108" s="382"/>
      <c r="AH108" s="384"/>
      <c r="AI108" s="382"/>
      <c r="AJ108" s="384"/>
      <c r="AK108" s="382"/>
      <c r="AL108" s="384"/>
      <c r="AM108" s="382"/>
      <c r="AN108" s="384"/>
      <c r="AO108" s="382"/>
      <c r="AP108" s="384"/>
      <c r="AQ108" s="382"/>
      <c r="AR108" s="219">
        <v>168000</v>
      </c>
      <c r="AS108" s="384"/>
    </row>
    <row r="109" spans="1:45" s="100" customFormat="1" ht="19.5" customHeight="1" x14ac:dyDescent="0.3">
      <c r="A109" s="30">
        <v>24</v>
      </c>
      <c r="B109" s="35" t="s">
        <v>70</v>
      </c>
      <c r="C109" s="35" t="s">
        <v>71</v>
      </c>
      <c r="D109" s="388" t="s">
        <v>72</v>
      </c>
      <c r="E109" s="420" t="s">
        <v>73</v>
      </c>
      <c r="F109" s="404" t="s">
        <v>155</v>
      </c>
      <c r="G109" s="387"/>
      <c r="H109" s="30"/>
      <c r="I109" s="382">
        <f t="shared" si="29"/>
        <v>5037396</v>
      </c>
      <c r="J109" s="382"/>
      <c r="K109" s="382"/>
      <c r="L109" s="109"/>
      <c r="M109" s="109"/>
      <c r="N109" s="382"/>
      <c r="O109" s="382"/>
      <c r="P109" s="384"/>
      <c r="Q109" s="382"/>
      <c r="R109" s="382">
        <v>798</v>
      </c>
      <c r="S109" s="382">
        <f t="shared" si="31"/>
        <v>4869396</v>
      </c>
      <c r="T109" s="384"/>
      <c r="U109" s="385"/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  <c r="AF109" s="384"/>
      <c r="AG109" s="382"/>
      <c r="AH109" s="384"/>
      <c r="AI109" s="382"/>
      <c r="AJ109" s="384"/>
      <c r="AK109" s="382"/>
      <c r="AL109" s="384"/>
      <c r="AM109" s="382"/>
      <c r="AN109" s="384"/>
      <c r="AO109" s="382"/>
      <c r="AP109" s="384"/>
      <c r="AQ109" s="382"/>
      <c r="AR109" s="219">
        <v>168000</v>
      </c>
      <c r="AS109" s="384"/>
    </row>
    <row r="110" spans="1:45" s="100" customFormat="1" ht="22.5" customHeight="1" x14ac:dyDescent="0.3">
      <c r="A110" s="30">
        <v>25</v>
      </c>
      <c r="B110" s="35" t="s">
        <v>70</v>
      </c>
      <c r="C110" s="35" t="s">
        <v>71</v>
      </c>
      <c r="D110" s="388" t="s">
        <v>72</v>
      </c>
      <c r="E110" s="420" t="s">
        <v>73</v>
      </c>
      <c r="F110" s="404" t="s">
        <v>154</v>
      </c>
      <c r="G110" s="387"/>
      <c r="H110" s="30"/>
      <c r="I110" s="382">
        <f t="shared" si="29"/>
        <v>5043498</v>
      </c>
      <c r="J110" s="382"/>
      <c r="K110" s="382"/>
      <c r="L110" s="109"/>
      <c r="M110" s="109"/>
      <c r="N110" s="382"/>
      <c r="O110" s="382"/>
      <c r="P110" s="384"/>
      <c r="Q110" s="382"/>
      <c r="R110" s="382">
        <v>799</v>
      </c>
      <c r="S110" s="382">
        <f t="shared" si="31"/>
        <v>4875498</v>
      </c>
      <c r="T110" s="384"/>
      <c r="U110" s="385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382"/>
      <c r="AF110" s="384"/>
      <c r="AG110" s="382"/>
      <c r="AH110" s="384"/>
      <c r="AI110" s="382"/>
      <c r="AJ110" s="384"/>
      <c r="AK110" s="382"/>
      <c r="AL110" s="384"/>
      <c r="AM110" s="382"/>
      <c r="AN110" s="384"/>
      <c r="AO110" s="382"/>
      <c r="AP110" s="384"/>
      <c r="AQ110" s="382"/>
      <c r="AR110" s="219">
        <v>168000</v>
      </c>
      <c r="AS110" s="384"/>
    </row>
    <row r="111" spans="1:45" s="220" customFormat="1" ht="27" customHeight="1" x14ac:dyDescent="0.3">
      <c r="A111" s="30">
        <v>26</v>
      </c>
      <c r="B111" s="46" t="s">
        <v>70</v>
      </c>
      <c r="C111" s="46" t="s">
        <v>71</v>
      </c>
      <c r="D111" s="330" t="s">
        <v>72</v>
      </c>
      <c r="E111" s="407" t="s">
        <v>153</v>
      </c>
      <c r="F111" s="292">
        <v>49</v>
      </c>
      <c r="G111" s="408"/>
      <c r="H111" s="292"/>
      <c r="I111" s="219">
        <f t="shared" si="29"/>
        <v>13282836</v>
      </c>
      <c r="J111" s="219">
        <f>488*2932</f>
        <v>1430816</v>
      </c>
      <c r="K111" s="219">
        <f>1032*2932</f>
        <v>3025824</v>
      </c>
      <c r="L111" s="219">
        <f>516*2932</f>
        <v>1512912</v>
      </c>
      <c r="M111" s="219">
        <f>2437*2932</f>
        <v>7145284</v>
      </c>
      <c r="N111" s="219"/>
      <c r="O111" s="219"/>
      <c r="P111" s="288"/>
      <c r="Q111" s="219"/>
      <c r="R111" s="219"/>
      <c r="S111" s="219"/>
      <c r="T111" s="288"/>
      <c r="U111" s="294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88"/>
      <c r="AG111" s="219"/>
      <c r="AH111" s="288"/>
      <c r="AI111" s="219"/>
      <c r="AJ111" s="288"/>
      <c r="AK111" s="219"/>
      <c r="AL111" s="288"/>
      <c r="AM111" s="219"/>
      <c r="AN111" s="288"/>
      <c r="AO111" s="219"/>
      <c r="AP111" s="288"/>
      <c r="AQ111" s="219"/>
      <c r="AR111" s="219">
        <v>168000</v>
      </c>
      <c r="AS111" s="288"/>
    </row>
    <row r="112" spans="1:45" s="100" customFormat="1" x14ac:dyDescent="0.3">
      <c r="A112" s="30">
        <v>27</v>
      </c>
      <c r="B112" s="35" t="s">
        <v>70</v>
      </c>
      <c r="C112" s="35" t="s">
        <v>71</v>
      </c>
      <c r="D112" s="35" t="s">
        <v>78</v>
      </c>
      <c r="E112" s="389" t="s">
        <v>144</v>
      </c>
      <c r="F112" s="30">
        <v>6</v>
      </c>
      <c r="G112" s="387"/>
      <c r="H112" s="30"/>
      <c r="I112" s="382">
        <f t="shared" si="29"/>
        <v>8924370</v>
      </c>
      <c r="J112" s="382"/>
      <c r="K112" s="382"/>
      <c r="L112" s="109"/>
      <c r="M112" s="109"/>
      <c r="N112" s="382"/>
      <c r="O112" s="382"/>
      <c r="P112" s="384"/>
      <c r="Q112" s="382"/>
      <c r="R112" s="382">
        <v>1435</v>
      </c>
      <c r="S112" s="382">
        <f t="shared" ref="S112" si="32">6102*R112</f>
        <v>8756370</v>
      </c>
      <c r="T112" s="384"/>
      <c r="U112" s="385"/>
      <c r="V112" s="382"/>
      <c r="W112" s="382"/>
      <c r="X112" s="382"/>
      <c r="Y112" s="382"/>
      <c r="Z112" s="382"/>
      <c r="AA112" s="382"/>
      <c r="AB112" s="382"/>
      <c r="AC112" s="382"/>
      <c r="AD112" s="382"/>
      <c r="AE112" s="382"/>
      <c r="AF112" s="384"/>
      <c r="AG112" s="382"/>
      <c r="AH112" s="384"/>
      <c r="AI112" s="382"/>
      <c r="AJ112" s="384"/>
      <c r="AK112" s="382"/>
      <c r="AL112" s="384"/>
      <c r="AM112" s="382"/>
      <c r="AN112" s="384"/>
      <c r="AO112" s="382"/>
      <c r="AP112" s="384"/>
      <c r="AQ112" s="382"/>
      <c r="AR112" s="382">
        <v>168000</v>
      </c>
      <c r="AS112" s="384"/>
    </row>
    <row r="113" spans="1:45" s="100" customFormat="1" x14ac:dyDescent="0.3">
      <c r="A113" s="30">
        <v>28</v>
      </c>
      <c r="B113" s="35" t="s">
        <v>70</v>
      </c>
      <c r="C113" s="35" t="s">
        <v>71</v>
      </c>
      <c r="D113" s="35" t="s">
        <v>78</v>
      </c>
      <c r="E113" s="389" t="s">
        <v>146</v>
      </c>
      <c r="F113" s="30">
        <v>5</v>
      </c>
      <c r="G113" s="387"/>
      <c r="H113" s="30" t="s">
        <v>88</v>
      </c>
      <c r="I113" s="382">
        <f t="shared" si="29"/>
        <v>5127292</v>
      </c>
      <c r="J113" s="382"/>
      <c r="K113" s="382"/>
      <c r="L113" s="109"/>
      <c r="M113" s="109"/>
      <c r="N113" s="382"/>
      <c r="O113" s="382"/>
      <c r="P113" s="384"/>
      <c r="Q113" s="382"/>
      <c r="R113" s="382">
        <v>674</v>
      </c>
      <c r="S113" s="382">
        <f t="shared" ref="S113" si="33">7358*R113</f>
        <v>4959292</v>
      </c>
      <c r="T113" s="384"/>
      <c r="U113" s="385"/>
      <c r="V113" s="382"/>
      <c r="W113" s="382"/>
      <c r="X113" s="382"/>
      <c r="Y113" s="382"/>
      <c r="Z113" s="382"/>
      <c r="AA113" s="382"/>
      <c r="AB113" s="382"/>
      <c r="AC113" s="382"/>
      <c r="AD113" s="382"/>
      <c r="AE113" s="382"/>
      <c r="AF113" s="384"/>
      <c r="AG113" s="382"/>
      <c r="AH113" s="384"/>
      <c r="AI113" s="382"/>
      <c r="AJ113" s="384"/>
      <c r="AK113" s="382"/>
      <c r="AL113" s="384"/>
      <c r="AM113" s="382"/>
      <c r="AN113" s="384"/>
      <c r="AO113" s="382"/>
      <c r="AP113" s="384"/>
      <c r="AQ113" s="382"/>
      <c r="AR113" s="382">
        <v>168000</v>
      </c>
      <c r="AS113" s="384"/>
    </row>
    <row r="114" spans="1:45" s="100" customFormat="1" x14ac:dyDescent="0.3">
      <c r="A114" s="30">
        <v>29</v>
      </c>
      <c r="B114" s="35" t="s">
        <v>70</v>
      </c>
      <c r="C114" s="35" t="s">
        <v>71</v>
      </c>
      <c r="D114" s="35" t="s">
        <v>78</v>
      </c>
      <c r="E114" s="389" t="s">
        <v>146</v>
      </c>
      <c r="F114" s="30">
        <v>19</v>
      </c>
      <c r="G114" s="387"/>
      <c r="H114" s="30"/>
      <c r="I114" s="382">
        <f t="shared" si="29"/>
        <v>9466137</v>
      </c>
      <c r="J114" s="382"/>
      <c r="K114" s="382"/>
      <c r="L114" s="109"/>
      <c r="M114" s="109"/>
      <c r="N114" s="382"/>
      <c r="O114" s="382"/>
      <c r="P114" s="384"/>
      <c r="Q114" s="382"/>
      <c r="R114" s="382">
        <v>569</v>
      </c>
      <c r="S114" s="382">
        <f>7358*R114</f>
        <v>4186702</v>
      </c>
      <c r="T114" s="384"/>
      <c r="U114" s="385"/>
      <c r="V114" s="382">
        <v>1085</v>
      </c>
      <c r="W114" s="382">
        <f>4711*V114</f>
        <v>5111435</v>
      </c>
      <c r="X114" s="382"/>
      <c r="Y114" s="382"/>
      <c r="Z114" s="382"/>
      <c r="AA114" s="382"/>
      <c r="AB114" s="382"/>
      <c r="AC114" s="382"/>
      <c r="AD114" s="382"/>
      <c r="AE114" s="382"/>
      <c r="AF114" s="384"/>
      <c r="AG114" s="382"/>
      <c r="AH114" s="384"/>
      <c r="AI114" s="382"/>
      <c r="AJ114" s="384"/>
      <c r="AK114" s="382"/>
      <c r="AL114" s="384"/>
      <c r="AM114" s="382"/>
      <c r="AN114" s="384"/>
      <c r="AO114" s="382"/>
      <c r="AP114" s="384"/>
      <c r="AQ114" s="382"/>
      <c r="AR114" s="382">
        <v>168000</v>
      </c>
      <c r="AS114" s="384"/>
    </row>
    <row r="115" spans="1:45" s="100" customFormat="1" x14ac:dyDescent="0.3">
      <c r="A115" s="30">
        <v>30</v>
      </c>
      <c r="B115" s="35" t="s">
        <v>70</v>
      </c>
      <c r="C115" s="35" t="s">
        <v>71</v>
      </c>
      <c r="D115" s="35" t="s">
        <v>78</v>
      </c>
      <c r="E115" s="403" t="s">
        <v>90</v>
      </c>
      <c r="F115" s="404" t="s">
        <v>110</v>
      </c>
      <c r="G115" s="387"/>
      <c r="H115" s="30"/>
      <c r="I115" s="382">
        <f t="shared" si="29"/>
        <v>628091.00340000005</v>
      </c>
      <c r="J115" s="382"/>
      <c r="K115" s="382"/>
      <c r="L115" s="216"/>
      <c r="M115" s="109"/>
      <c r="N115" s="382"/>
      <c r="O115" s="382">
        <f>407.16018*1130</f>
        <v>460091.00340000005</v>
      </c>
      <c r="P115" s="384"/>
      <c r="Q115" s="382"/>
      <c r="R115" s="382"/>
      <c r="S115" s="382"/>
      <c r="T115" s="384"/>
      <c r="U115" s="385"/>
      <c r="V115" s="382"/>
      <c r="W115" s="382"/>
      <c r="X115" s="382"/>
      <c r="Y115" s="219"/>
      <c r="Z115" s="382"/>
      <c r="AA115" s="382"/>
      <c r="AB115" s="382"/>
      <c r="AC115" s="382"/>
      <c r="AD115" s="382"/>
      <c r="AE115" s="382"/>
      <c r="AF115" s="384"/>
      <c r="AG115" s="382"/>
      <c r="AH115" s="384"/>
      <c r="AI115" s="382"/>
      <c r="AJ115" s="384"/>
      <c r="AK115" s="382"/>
      <c r="AL115" s="384"/>
      <c r="AM115" s="382"/>
      <c r="AN115" s="384"/>
      <c r="AO115" s="382"/>
      <c r="AP115" s="384"/>
      <c r="AQ115" s="382"/>
      <c r="AR115" s="219">
        <v>168000</v>
      </c>
      <c r="AS115" s="384"/>
    </row>
    <row r="116" spans="1:45" s="100" customFormat="1" ht="19.5" thickBot="1" x14ac:dyDescent="0.35">
      <c r="A116" s="30">
        <v>31</v>
      </c>
      <c r="B116" s="431" t="s">
        <v>70</v>
      </c>
      <c r="C116" s="431" t="s">
        <v>71</v>
      </c>
      <c r="D116" s="431" t="s">
        <v>78</v>
      </c>
      <c r="E116" s="432" t="s">
        <v>150</v>
      </c>
      <c r="F116" s="430">
        <v>17</v>
      </c>
      <c r="G116" s="433"/>
      <c r="H116" s="430" t="s">
        <v>88</v>
      </c>
      <c r="I116" s="406">
        <f t="shared" ref="I116" si="34">J116+K116+L116+M116+N116+O116+Q116+S116+U116+W116+Y116+AA116+AC116+AE116+AG116+AI116+AK116+AM116+AO116+AQ116+AR116</f>
        <v>9064716</v>
      </c>
      <c r="J116" s="406"/>
      <c r="K116" s="406"/>
      <c r="L116" s="434"/>
      <c r="M116" s="434"/>
      <c r="N116" s="406"/>
      <c r="O116" s="406"/>
      <c r="P116" s="416"/>
      <c r="Q116" s="406"/>
      <c r="R116" s="406">
        <v>1458</v>
      </c>
      <c r="S116" s="406">
        <f>6102*R116</f>
        <v>8896716</v>
      </c>
      <c r="T116" s="416"/>
      <c r="U116" s="435"/>
      <c r="V116" s="406"/>
      <c r="W116" s="406"/>
      <c r="X116" s="406"/>
      <c r="Y116" s="406"/>
      <c r="Z116" s="406"/>
      <c r="AA116" s="406"/>
      <c r="AB116" s="406"/>
      <c r="AC116" s="406"/>
      <c r="AD116" s="406"/>
      <c r="AE116" s="406"/>
      <c r="AF116" s="416"/>
      <c r="AG116" s="406"/>
      <c r="AH116" s="416"/>
      <c r="AI116" s="406"/>
      <c r="AJ116" s="416"/>
      <c r="AK116" s="406"/>
      <c r="AL116" s="416"/>
      <c r="AM116" s="406"/>
      <c r="AN116" s="416"/>
      <c r="AO116" s="406"/>
      <c r="AP116" s="416"/>
      <c r="AQ116" s="406"/>
      <c r="AR116" s="406">
        <v>168000</v>
      </c>
      <c r="AS116" s="416"/>
    </row>
    <row r="117" spans="1:45" s="100" customFormat="1" ht="36" customHeight="1" x14ac:dyDescent="0.3">
      <c r="A117" s="511" t="s">
        <v>162</v>
      </c>
      <c r="B117" s="512"/>
      <c r="C117" s="512"/>
      <c r="D117" s="512"/>
      <c r="E117" s="513"/>
      <c r="F117" s="425"/>
      <c r="G117" s="426"/>
      <c r="H117" s="427"/>
      <c r="I117" s="428">
        <f>SUM(I86:I116)</f>
        <v>207365000.0034</v>
      </c>
      <c r="J117" s="428">
        <f>SUM(J86:J116)</f>
        <v>2141344</v>
      </c>
      <c r="K117" s="428">
        <f>SUM(K86:K116)</f>
        <v>4528416</v>
      </c>
      <c r="L117" s="428">
        <f>SUM(L86:L116)</f>
        <v>2264208</v>
      </c>
      <c r="M117" s="428">
        <f>SUM(M86:M116)</f>
        <v>13617956</v>
      </c>
      <c r="N117" s="405"/>
      <c r="O117" s="428">
        <f>SUM(O86:O116)</f>
        <v>1588961.0034</v>
      </c>
      <c r="P117" s="423">
        <f>SUM(P86:P116)</f>
        <v>0</v>
      </c>
      <c r="Q117" s="428">
        <f>SUM(Q86:Q116)</f>
        <v>0</v>
      </c>
      <c r="R117" s="428">
        <f>SUM(R86:R116)</f>
        <v>23369</v>
      </c>
      <c r="S117" s="428">
        <f>SUM(S86:S116)</f>
        <v>153808694</v>
      </c>
      <c r="T117" s="415"/>
      <c r="U117" s="429"/>
      <c r="V117" s="428">
        <f>SUM(V86:V116)</f>
        <v>5125</v>
      </c>
      <c r="W117" s="428">
        <f>SUM(W86:W116)</f>
        <v>24143875</v>
      </c>
      <c r="X117" s="428">
        <f>SUM(X86:X116)</f>
        <v>74</v>
      </c>
      <c r="Y117" s="428">
        <f>SUM(Y86:Y116)</f>
        <v>231546</v>
      </c>
      <c r="Z117" s="405"/>
      <c r="AA117" s="405"/>
      <c r="AB117" s="405"/>
      <c r="AC117" s="405"/>
      <c r="AD117" s="405"/>
      <c r="AE117" s="405"/>
      <c r="AF117" s="415"/>
      <c r="AG117" s="405"/>
      <c r="AH117" s="415"/>
      <c r="AI117" s="405"/>
      <c r="AJ117" s="415"/>
      <c r="AK117" s="405"/>
      <c r="AL117" s="405"/>
      <c r="AM117" s="405"/>
      <c r="AN117" s="415"/>
      <c r="AO117" s="405"/>
      <c r="AP117" s="415"/>
      <c r="AQ117" s="405"/>
      <c r="AR117" s="428">
        <f>SUM(AR86:AR116)</f>
        <v>5040000</v>
      </c>
      <c r="AS117" s="415"/>
    </row>
    <row r="118" spans="1:45" s="100" customFormat="1" x14ac:dyDescent="0.3">
      <c r="A118" s="30"/>
      <c r="B118" s="35"/>
      <c r="C118" s="35"/>
      <c r="D118" s="35"/>
      <c r="E118" s="389"/>
      <c r="F118" s="30"/>
      <c r="G118" s="387"/>
      <c r="H118" s="30"/>
      <c r="I118" s="382"/>
      <c r="J118" s="382"/>
      <c r="K118" s="382"/>
      <c r="L118" s="382"/>
      <c r="M118" s="382"/>
      <c r="N118" s="382"/>
      <c r="O118" s="382"/>
      <c r="P118" s="384"/>
      <c r="Q118" s="382"/>
      <c r="R118" s="382"/>
      <c r="S118" s="382"/>
      <c r="T118" s="384"/>
      <c r="U118" s="385"/>
      <c r="V118" s="382"/>
      <c r="W118" s="382"/>
      <c r="X118" s="382"/>
      <c r="Y118" s="382"/>
      <c r="Z118" s="382"/>
      <c r="AA118" s="382"/>
      <c r="AB118" s="382"/>
      <c r="AC118" s="382"/>
      <c r="AD118" s="382"/>
      <c r="AE118" s="382"/>
      <c r="AF118" s="384"/>
      <c r="AG118" s="382"/>
      <c r="AH118" s="384"/>
      <c r="AI118" s="382"/>
      <c r="AJ118" s="384"/>
      <c r="AK118" s="382"/>
      <c r="AL118" s="384"/>
      <c r="AN118" s="384"/>
      <c r="AO118" s="382"/>
      <c r="AP118" s="384"/>
      <c r="AQ118" s="382"/>
      <c r="AR118" s="382"/>
      <c r="AS118" s="384"/>
    </row>
    <row r="119" spans="1:45" s="100" customFormat="1" x14ac:dyDescent="0.3">
      <c r="A119" s="30"/>
      <c r="B119" s="35"/>
      <c r="C119" s="35"/>
      <c r="D119" s="35"/>
      <c r="E119" s="389"/>
      <c r="F119" s="30"/>
      <c r="G119" s="387"/>
      <c r="H119" s="30"/>
      <c r="I119" s="382"/>
      <c r="J119" s="382"/>
      <c r="K119" s="382"/>
      <c r="L119" s="382"/>
      <c r="M119" s="382"/>
      <c r="N119" s="382"/>
      <c r="O119" s="382"/>
      <c r="P119" s="384"/>
      <c r="Q119" s="382"/>
      <c r="R119" s="382"/>
      <c r="S119" s="382"/>
      <c r="T119" s="384"/>
      <c r="U119" s="385"/>
      <c r="V119" s="382"/>
      <c r="W119" s="382"/>
      <c r="X119" s="382"/>
      <c r="Y119" s="382"/>
      <c r="Z119" s="382"/>
      <c r="AA119" s="382"/>
      <c r="AB119" s="382"/>
      <c r="AC119" s="382"/>
      <c r="AD119" s="382"/>
      <c r="AE119" s="382"/>
      <c r="AF119" s="384"/>
      <c r="AG119" s="382"/>
      <c r="AH119" s="384"/>
      <c r="AI119" s="382"/>
      <c r="AJ119" s="384"/>
      <c r="AK119" s="382"/>
      <c r="AL119" s="384"/>
      <c r="AM119" s="382"/>
      <c r="AN119" s="384"/>
      <c r="AO119" s="382"/>
      <c r="AP119" s="384"/>
      <c r="AQ119" s="382"/>
      <c r="AR119" s="382"/>
      <c r="AS119" s="384"/>
    </row>
    <row r="120" spans="1:45" s="100" customFormat="1" ht="24" customHeight="1" x14ac:dyDescent="0.3">
      <c r="A120" s="30"/>
      <c r="B120" s="35"/>
      <c r="C120" s="35"/>
      <c r="D120" s="388"/>
      <c r="E120" s="424"/>
      <c r="F120" s="30"/>
      <c r="G120" s="387"/>
      <c r="H120" s="30"/>
      <c r="I120" s="382"/>
      <c r="J120" s="382"/>
      <c r="K120" s="382"/>
      <c r="L120" s="382"/>
      <c r="M120" s="382"/>
      <c r="N120" s="382"/>
      <c r="O120" s="382"/>
      <c r="P120" s="384"/>
      <c r="Q120" s="382"/>
      <c r="R120" s="382"/>
      <c r="S120" s="382"/>
      <c r="T120" s="384"/>
      <c r="U120" s="385"/>
      <c r="V120" s="382"/>
      <c r="W120" s="382"/>
      <c r="X120" s="382"/>
      <c r="Y120" s="382"/>
      <c r="Z120" s="382"/>
      <c r="AA120" s="382"/>
      <c r="AB120" s="382"/>
      <c r="AC120" s="382"/>
      <c r="AD120" s="382"/>
      <c r="AE120" s="382"/>
      <c r="AF120" s="384"/>
      <c r="AG120" s="382"/>
      <c r="AH120" s="384"/>
      <c r="AI120" s="382"/>
      <c r="AJ120" s="384"/>
      <c r="AK120" s="382"/>
      <c r="AL120" s="384"/>
      <c r="AM120" s="382"/>
      <c r="AN120" s="384"/>
      <c r="AO120" s="382"/>
      <c r="AP120" s="384"/>
      <c r="AQ120" s="382"/>
      <c r="AR120" s="382"/>
      <c r="AS120" s="384"/>
    </row>
    <row r="121" spans="1:45" s="100" customFormat="1" x14ac:dyDescent="0.3">
      <c r="A121" s="30"/>
      <c r="B121" s="35"/>
      <c r="C121" s="35"/>
      <c r="D121" s="419"/>
      <c r="E121" s="419"/>
      <c r="F121" s="30"/>
      <c r="G121" s="387"/>
      <c r="H121" s="30"/>
      <c r="I121" s="382"/>
      <c r="J121" s="382"/>
      <c r="K121" s="382"/>
      <c r="L121" s="382"/>
      <c r="M121" s="382"/>
      <c r="N121" s="382"/>
      <c r="O121" s="382"/>
      <c r="P121" s="384"/>
      <c r="Q121" s="382"/>
      <c r="R121" s="382"/>
      <c r="S121" s="382"/>
      <c r="T121" s="384"/>
      <c r="U121" s="385"/>
      <c r="V121" s="382"/>
      <c r="W121" s="382"/>
      <c r="X121" s="382"/>
      <c r="Y121" s="382"/>
      <c r="Z121" s="382"/>
      <c r="AA121" s="382"/>
      <c r="AB121" s="382"/>
      <c r="AC121" s="382"/>
      <c r="AD121" s="382"/>
      <c r="AE121" s="382"/>
      <c r="AF121" s="384"/>
      <c r="AG121" s="382"/>
      <c r="AH121" s="384"/>
      <c r="AI121" s="382"/>
      <c r="AJ121" s="384"/>
      <c r="AK121" s="382"/>
      <c r="AL121" s="384"/>
      <c r="AM121" s="382"/>
      <c r="AN121" s="384"/>
      <c r="AO121" s="382"/>
      <c r="AP121" s="384"/>
      <c r="AQ121" s="382"/>
      <c r="AR121" s="219"/>
      <c r="AS121" s="384"/>
    </row>
    <row r="122" spans="1:45" s="100" customFormat="1" x14ac:dyDescent="0.3">
      <c r="A122" s="30"/>
      <c r="B122" s="35"/>
      <c r="C122" s="35"/>
      <c r="D122" s="419"/>
      <c r="E122" s="419"/>
      <c r="F122" s="30"/>
      <c r="G122" s="387"/>
      <c r="H122" s="30"/>
      <c r="I122" s="382"/>
      <c r="J122" s="382"/>
      <c r="K122" s="382"/>
      <c r="L122" s="382"/>
      <c r="M122" s="382"/>
      <c r="N122" s="382"/>
      <c r="O122" s="382"/>
      <c r="P122" s="384"/>
      <c r="Q122" s="382"/>
      <c r="R122" s="382"/>
      <c r="S122" s="382"/>
      <c r="T122" s="384"/>
      <c r="U122" s="385"/>
      <c r="V122" s="382"/>
      <c r="W122" s="382"/>
      <c r="X122" s="382"/>
      <c r="Y122" s="382"/>
      <c r="Z122" s="382"/>
      <c r="AA122" s="382"/>
      <c r="AB122" s="382"/>
      <c r="AC122" s="382"/>
      <c r="AD122" s="382"/>
      <c r="AE122" s="382"/>
      <c r="AF122" s="384"/>
      <c r="AG122" s="382"/>
      <c r="AH122" s="384"/>
      <c r="AI122" s="382"/>
      <c r="AJ122" s="384"/>
      <c r="AK122" s="382"/>
      <c r="AL122" s="384"/>
      <c r="AM122" s="382"/>
      <c r="AN122" s="384"/>
      <c r="AO122" s="382"/>
      <c r="AP122" s="384"/>
      <c r="AQ122" s="382"/>
      <c r="AR122" s="219"/>
      <c r="AS122" s="384"/>
    </row>
    <row r="123" spans="1:45" s="100" customFormat="1" ht="22.15" customHeight="1" x14ac:dyDescent="0.3">
      <c r="A123" s="383"/>
      <c r="B123" s="380"/>
      <c r="C123" s="386"/>
      <c r="D123" s="386"/>
      <c r="E123" s="386"/>
      <c r="F123" s="30"/>
      <c r="G123" s="30"/>
      <c r="H123" s="30"/>
      <c r="I123" s="382"/>
      <c r="J123" s="382"/>
      <c r="K123" s="382"/>
      <c r="L123" s="382"/>
      <c r="M123" s="382"/>
      <c r="N123" s="382"/>
      <c r="O123" s="382"/>
      <c r="P123" s="384"/>
      <c r="Q123" s="382"/>
      <c r="R123" s="382"/>
      <c r="S123" s="382"/>
      <c r="T123" s="384"/>
      <c r="U123" s="385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382"/>
      <c r="AF123" s="384"/>
      <c r="AG123" s="382"/>
      <c r="AH123" s="384"/>
      <c r="AI123" s="382"/>
      <c r="AJ123" s="384"/>
      <c r="AK123" s="382"/>
      <c r="AL123" s="384"/>
      <c r="AM123" s="382"/>
      <c r="AN123" s="384"/>
      <c r="AO123" s="382"/>
      <c r="AP123" s="384"/>
      <c r="AQ123" s="382"/>
      <c r="AR123" s="382"/>
      <c r="AS123" s="384"/>
    </row>
    <row r="124" spans="1:45" s="220" customFormat="1" ht="24.95" customHeight="1" x14ac:dyDescent="0.3">
      <c r="A124" s="305" t="s">
        <v>97</v>
      </c>
      <c r="B124" s="42"/>
      <c r="C124" s="40"/>
      <c r="D124" s="40"/>
      <c r="E124" s="306"/>
      <c r="F124" s="101"/>
      <c r="G124" s="307"/>
      <c r="H124" s="307"/>
    </row>
    <row r="125" spans="1:45" x14ac:dyDescent="0.3">
      <c r="A125" s="77"/>
      <c r="B125" s="78"/>
      <c r="C125" s="79"/>
      <c r="D125" s="79"/>
      <c r="E125" s="79"/>
      <c r="F125" s="80"/>
      <c r="G125" s="81"/>
      <c r="H125" s="81"/>
    </row>
    <row r="135" spans="1:8" s="99" customFormat="1" x14ac:dyDescent="0.3">
      <c r="A135" s="102"/>
      <c r="B135" s="103"/>
      <c r="C135" s="104"/>
      <c r="D135" s="104"/>
      <c r="E135" s="105"/>
      <c r="F135" s="106"/>
      <c r="G135" s="106"/>
      <c r="H135" s="106"/>
    </row>
    <row r="136" spans="1:8" s="99" customFormat="1" x14ac:dyDescent="0.3">
      <c r="A136" s="102"/>
      <c r="B136" s="103"/>
      <c r="C136" s="104"/>
      <c r="D136" s="104"/>
      <c r="E136" s="105"/>
      <c r="F136" s="106"/>
      <c r="G136" s="106"/>
      <c r="H136" s="106"/>
    </row>
    <row r="137" spans="1:8" s="99" customFormat="1" x14ac:dyDescent="0.3">
      <c r="A137" s="102"/>
      <c r="B137" s="103"/>
      <c r="C137" s="104"/>
      <c r="D137" s="104"/>
      <c r="E137" s="105"/>
      <c r="F137" s="106"/>
      <c r="G137" s="106"/>
      <c r="H137" s="106"/>
    </row>
    <row r="138" spans="1:8" s="99" customFormat="1" x14ac:dyDescent="0.3">
      <c r="A138" s="102"/>
      <c r="B138" s="103"/>
      <c r="C138" s="104"/>
      <c r="D138" s="104"/>
      <c r="E138" s="105"/>
      <c r="F138" s="106"/>
      <c r="G138" s="106"/>
      <c r="H138" s="106"/>
    </row>
    <row r="139" spans="1:8" s="99" customFormat="1" x14ac:dyDescent="0.3">
      <c r="A139" s="102"/>
      <c r="B139" s="103"/>
      <c r="C139" s="104"/>
      <c r="D139" s="104"/>
      <c r="E139" s="105"/>
      <c r="F139" s="106"/>
      <c r="G139" s="106"/>
      <c r="H139" s="106"/>
    </row>
    <row r="140" spans="1:8" s="99" customFormat="1" x14ac:dyDescent="0.3">
      <c r="A140" s="102"/>
      <c r="B140" s="103"/>
      <c r="C140" s="104"/>
      <c r="D140" s="104"/>
      <c r="E140" s="105"/>
      <c r="F140" s="106"/>
      <c r="G140" s="106"/>
      <c r="H140" s="106"/>
    </row>
    <row r="141" spans="1:8" s="99" customFormat="1" x14ac:dyDescent="0.3">
      <c r="A141" s="102"/>
      <c r="B141" s="103"/>
      <c r="C141" s="104"/>
      <c r="D141" s="104"/>
      <c r="E141" s="105"/>
      <c r="F141" s="106"/>
      <c r="G141" s="106"/>
      <c r="H141" s="106"/>
    </row>
    <row r="142" spans="1:8" s="99" customFormat="1" x14ac:dyDescent="0.3">
      <c r="A142" s="102"/>
      <c r="B142" s="103"/>
      <c r="C142" s="104"/>
      <c r="D142" s="104"/>
      <c r="E142" s="105"/>
      <c r="F142" s="106"/>
      <c r="G142" s="106"/>
      <c r="H142" s="106"/>
    </row>
    <row r="143" spans="1:8" s="99" customFormat="1" x14ac:dyDescent="0.3">
      <c r="A143" s="102"/>
      <c r="B143" s="103"/>
      <c r="C143" s="104"/>
      <c r="D143" s="104"/>
      <c r="E143" s="105"/>
      <c r="F143" s="106"/>
      <c r="G143" s="106"/>
      <c r="H143" s="106"/>
    </row>
    <row r="144" spans="1:8" s="99" customFormat="1" x14ac:dyDescent="0.3">
      <c r="A144" s="102"/>
      <c r="B144" s="103"/>
      <c r="C144" s="104"/>
      <c r="D144" s="104"/>
      <c r="E144" s="105"/>
      <c r="F144" s="106"/>
      <c r="G144" s="106"/>
      <c r="H144" s="106"/>
    </row>
    <row r="145" spans="1:8" s="99" customFormat="1" x14ac:dyDescent="0.3">
      <c r="A145" s="102"/>
      <c r="B145" s="103"/>
      <c r="C145" s="104"/>
      <c r="D145" s="104"/>
      <c r="E145" s="105"/>
      <c r="F145" s="106"/>
      <c r="G145" s="106"/>
      <c r="H145" s="106"/>
    </row>
    <row r="146" spans="1:8" s="99" customFormat="1" x14ac:dyDescent="0.3">
      <c r="A146" s="102"/>
      <c r="B146" s="103"/>
      <c r="C146" s="104"/>
      <c r="D146" s="104"/>
      <c r="E146" s="105"/>
      <c r="F146" s="106"/>
      <c r="G146" s="106"/>
      <c r="H146" s="106"/>
    </row>
    <row r="147" spans="1:8" s="99" customFormat="1" x14ac:dyDescent="0.3">
      <c r="A147" s="102"/>
      <c r="B147" s="103"/>
      <c r="C147" s="104"/>
      <c r="D147" s="104"/>
      <c r="E147" s="105"/>
      <c r="F147" s="106"/>
      <c r="G147" s="106"/>
      <c r="H147" s="106"/>
    </row>
    <row r="148" spans="1:8" s="99" customFormat="1" x14ac:dyDescent="0.3">
      <c r="A148" s="102"/>
      <c r="B148" s="103"/>
      <c r="C148" s="104"/>
      <c r="D148" s="104"/>
      <c r="E148" s="105"/>
      <c r="F148" s="106"/>
      <c r="G148" s="106"/>
      <c r="H148" s="106"/>
    </row>
    <row r="149" spans="1:8" s="99" customFormat="1" x14ac:dyDescent="0.3">
      <c r="A149" s="102"/>
      <c r="B149" s="103"/>
      <c r="C149" s="104"/>
      <c r="D149" s="104"/>
      <c r="E149" s="105"/>
      <c r="F149" s="106"/>
      <c r="G149" s="106"/>
      <c r="H149" s="106"/>
    </row>
    <row r="150" spans="1:8" s="99" customFormat="1" x14ac:dyDescent="0.3">
      <c r="A150" s="102"/>
      <c r="B150" s="103"/>
      <c r="C150" s="104"/>
      <c r="D150" s="104"/>
      <c r="E150" s="105"/>
      <c r="F150" s="106"/>
      <c r="G150" s="106"/>
      <c r="H150" s="106"/>
    </row>
    <row r="151" spans="1:8" s="99" customFormat="1" x14ac:dyDescent="0.3">
      <c r="A151" s="102"/>
      <c r="B151" s="103"/>
      <c r="C151" s="104"/>
      <c r="D151" s="104"/>
      <c r="E151" s="105"/>
      <c r="F151" s="106"/>
      <c r="G151" s="106"/>
      <c r="H151" s="106"/>
    </row>
    <row r="152" spans="1:8" s="99" customFormat="1" x14ac:dyDescent="0.3">
      <c r="A152" s="102"/>
      <c r="B152" s="103"/>
      <c r="C152" s="104"/>
      <c r="D152" s="104"/>
      <c r="E152" s="105"/>
      <c r="F152" s="106"/>
      <c r="G152" s="106"/>
      <c r="H152" s="106"/>
    </row>
    <row r="153" spans="1:8" s="99" customFormat="1" x14ac:dyDescent="0.3">
      <c r="A153" s="102"/>
      <c r="B153" s="103"/>
      <c r="C153" s="104"/>
      <c r="D153" s="104"/>
      <c r="E153" s="105"/>
      <c r="F153" s="106"/>
      <c r="G153" s="106"/>
      <c r="H153" s="106"/>
    </row>
    <row r="154" spans="1:8" s="99" customFormat="1" x14ac:dyDescent="0.3">
      <c r="A154" s="102"/>
      <c r="B154" s="103"/>
      <c r="C154" s="104"/>
      <c r="D154" s="104"/>
      <c r="E154" s="105"/>
      <c r="F154" s="106"/>
      <c r="G154" s="106"/>
      <c r="H154" s="106"/>
    </row>
    <row r="155" spans="1:8" s="99" customFormat="1" x14ac:dyDescent="0.3">
      <c r="A155" s="102"/>
      <c r="B155" s="103"/>
      <c r="C155" s="104"/>
      <c r="D155" s="104"/>
      <c r="E155" s="105"/>
      <c r="F155" s="106"/>
      <c r="G155" s="106"/>
      <c r="H155" s="106"/>
    </row>
    <row r="156" spans="1:8" s="99" customFormat="1" x14ac:dyDescent="0.3">
      <c r="A156" s="102"/>
      <c r="B156" s="103"/>
      <c r="C156" s="104"/>
      <c r="D156" s="104"/>
      <c r="E156" s="105"/>
      <c r="F156" s="106"/>
      <c r="G156" s="106"/>
      <c r="H156" s="106"/>
    </row>
    <row r="157" spans="1:8" s="99" customFormat="1" x14ac:dyDescent="0.3">
      <c r="A157" s="102"/>
      <c r="B157" s="103"/>
      <c r="C157" s="104"/>
      <c r="D157" s="104"/>
      <c r="E157" s="105"/>
      <c r="F157" s="106"/>
      <c r="G157" s="106"/>
      <c r="H157" s="106"/>
    </row>
    <row r="158" spans="1:8" s="99" customFormat="1" x14ac:dyDescent="0.3">
      <c r="A158" s="102"/>
      <c r="B158" s="103"/>
      <c r="C158" s="104"/>
      <c r="D158" s="104"/>
      <c r="E158" s="105"/>
      <c r="F158" s="106"/>
      <c r="G158" s="106"/>
      <c r="H158" s="106"/>
    </row>
    <row r="159" spans="1:8" s="99" customFormat="1" x14ac:dyDescent="0.3">
      <c r="A159" s="102"/>
      <c r="B159" s="103"/>
      <c r="C159" s="104"/>
      <c r="D159" s="104"/>
      <c r="E159" s="105"/>
      <c r="F159" s="106"/>
      <c r="G159" s="106"/>
      <c r="H159" s="106"/>
    </row>
    <row r="160" spans="1:8" s="99" customFormat="1" x14ac:dyDescent="0.3">
      <c r="A160" s="102"/>
      <c r="B160" s="103"/>
      <c r="C160" s="104"/>
      <c r="D160" s="104"/>
      <c r="E160" s="105"/>
      <c r="F160" s="106"/>
      <c r="G160" s="106"/>
      <c r="H160" s="106"/>
    </row>
    <row r="161" spans="1:8" s="99" customFormat="1" x14ac:dyDescent="0.3">
      <c r="A161" s="102"/>
      <c r="B161" s="103"/>
      <c r="C161" s="104"/>
      <c r="D161" s="104"/>
      <c r="E161" s="105"/>
      <c r="F161" s="106"/>
      <c r="G161" s="106"/>
      <c r="H161" s="106"/>
    </row>
    <row r="162" spans="1:8" s="99" customFormat="1" x14ac:dyDescent="0.3">
      <c r="A162" s="102"/>
      <c r="B162" s="103"/>
      <c r="C162" s="104"/>
      <c r="D162" s="104"/>
      <c r="E162" s="105"/>
      <c r="F162" s="106"/>
      <c r="G162" s="106"/>
      <c r="H162" s="106"/>
    </row>
    <row r="163" spans="1:8" s="99" customFormat="1" x14ac:dyDescent="0.3">
      <c r="A163" s="102"/>
      <c r="B163" s="103"/>
      <c r="C163" s="104"/>
      <c r="D163" s="104"/>
      <c r="E163" s="105"/>
      <c r="F163" s="106"/>
      <c r="G163" s="106"/>
      <c r="H163" s="106"/>
    </row>
    <row r="164" spans="1:8" s="99" customFormat="1" x14ac:dyDescent="0.3">
      <c r="A164" s="102"/>
      <c r="B164" s="103"/>
      <c r="C164" s="104"/>
      <c r="D164" s="104"/>
      <c r="E164" s="105"/>
      <c r="F164" s="106"/>
      <c r="G164" s="106"/>
      <c r="H164" s="106"/>
    </row>
    <row r="165" spans="1:8" s="99" customFormat="1" x14ac:dyDescent="0.3">
      <c r="A165" s="102"/>
      <c r="B165" s="103"/>
      <c r="C165" s="104"/>
      <c r="D165" s="104"/>
      <c r="E165" s="105"/>
      <c r="F165" s="106"/>
      <c r="G165" s="106"/>
      <c r="H165" s="106"/>
    </row>
    <row r="166" spans="1:8" s="99" customFormat="1" x14ac:dyDescent="0.3">
      <c r="A166" s="102"/>
      <c r="B166" s="103"/>
      <c r="C166" s="104"/>
      <c r="D166" s="104"/>
      <c r="E166" s="105"/>
      <c r="F166" s="106"/>
      <c r="G166" s="106"/>
      <c r="H166" s="106"/>
    </row>
    <row r="167" spans="1:8" s="99" customFormat="1" x14ac:dyDescent="0.3">
      <c r="A167" s="102"/>
      <c r="B167" s="103"/>
      <c r="C167" s="104"/>
      <c r="D167" s="104"/>
      <c r="E167" s="105"/>
      <c r="F167" s="106"/>
      <c r="G167" s="106"/>
      <c r="H167" s="106"/>
    </row>
    <row r="168" spans="1:8" s="99" customFormat="1" x14ac:dyDescent="0.3">
      <c r="A168" s="102"/>
      <c r="B168" s="103"/>
      <c r="C168" s="104"/>
      <c r="D168" s="104"/>
      <c r="E168" s="105"/>
      <c r="F168" s="106"/>
      <c r="G168" s="106"/>
      <c r="H168" s="106"/>
    </row>
    <row r="169" spans="1:8" s="99" customFormat="1" x14ac:dyDescent="0.3">
      <c r="A169" s="102"/>
      <c r="B169" s="103"/>
      <c r="C169" s="104"/>
      <c r="D169" s="104"/>
      <c r="E169" s="105"/>
      <c r="F169" s="106"/>
      <c r="G169" s="106"/>
      <c r="H169" s="106"/>
    </row>
    <row r="170" spans="1:8" s="99" customFormat="1" x14ac:dyDescent="0.3">
      <c r="A170" s="102"/>
      <c r="B170" s="103"/>
      <c r="C170" s="104"/>
      <c r="D170" s="104"/>
      <c r="E170" s="105"/>
      <c r="F170" s="106"/>
      <c r="G170" s="106"/>
      <c r="H170" s="106"/>
    </row>
    <row r="171" spans="1:8" s="99" customFormat="1" x14ac:dyDescent="0.3">
      <c r="A171" s="102"/>
      <c r="B171" s="103"/>
      <c r="C171" s="104"/>
      <c r="D171" s="104"/>
      <c r="E171" s="105"/>
      <c r="F171" s="106"/>
      <c r="G171" s="106"/>
      <c r="H171" s="106"/>
    </row>
    <row r="172" spans="1:8" s="99" customFormat="1" x14ac:dyDescent="0.3">
      <c r="A172" s="102"/>
      <c r="B172" s="103"/>
      <c r="C172" s="104"/>
      <c r="D172" s="104"/>
      <c r="E172" s="105"/>
      <c r="F172" s="106"/>
      <c r="G172" s="106"/>
      <c r="H172" s="106"/>
    </row>
  </sheetData>
  <sheetProtection autoFilter="0"/>
  <autoFilter ref="A9:AV9"/>
  <mergeCells count="36">
    <mergeCell ref="V6:W7"/>
    <mergeCell ref="B6:H6"/>
    <mergeCell ref="I6:I7"/>
    <mergeCell ref="A82:E82"/>
    <mergeCell ref="A117:E117"/>
    <mergeCell ref="AO2:AS2"/>
    <mergeCell ref="AM3:AS3"/>
    <mergeCell ref="T6:U7"/>
    <mergeCell ref="A85:AS85"/>
    <mergeCell ref="G7:G8"/>
    <mergeCell ref="A6:A8"/>
    <mergeCell ref="AD6:AE7"/>
    <mergeCell ref="AP7:AQ7"/>
    <mergeCell ref="AR6:AR7"/>
    <mergeCell ref="H7:H8"/>
    <mergeCell ref="AH7:AI7"/>
    <mergeCell ref="AF6:AG7"/>
    <mergeCell ref="AH6:AQ6"/>
    <mergeCell ref="P6:Q7"/>
    <mergeCell ref="X6:Y7"/>
    <mergeCell ref="W1:AE1"/>
    <mergeCell ref="AS6:AS7"/>
    <mergeCell ref="AN7:AO7"/>
    <mergeCell ref="AB6:AC7"/>
    <mergeCell ref="AH1:AS1"/>
    <mergeCell ref="A5:AS5"/>
    <mergeCell ref="Z6:AA7"/>
    <mergeCell ref="F7:F8"/>
    <mergeCell ref="E7:E8"/>
    <mergeCell ref="B7:B8"/>
    <mergeCell ref="C7:C8"/>
    <mergeCell ref="D7:D8"/>
    <mergeCell ref="AJ7:AK7"/>
    <mergeCell ref="AL7:AM7"/>
    <mergeCell ref="J6:O6"/>
    <mergeCell ref="R6:S7"/>
  </mergeCells>
  <conditionalFormatting sqref="AS48 AS52 AS80 AS54 AS44">
    <cfRule type="expression" dxfId="260" priority="372" stopIfTrue="1">
      <formula>BB44&gt;0</formula>
    </cfRule>
  </conditionalFormatting>
  <conditionalFormatting sqref="AR24:AR25 AR11:AR22">
    <cfRule type="expression" dxfId="259" priority="365" stopIfTrue="1">
      <formula>BA11&gt;0</formula>
    </cfRule>
  </conditionalFormatting>
  <conditionalFormatting sqref="AR26">
    <cfRule type="expression" dxfId="258" priority="347" stopIfTrue="1">
      <formula>BA26&gt;0</formula>
    </cfRule>
  </conditionalFormatting>
  <conditionalFormatting sqref="AR23">
    <cfRule type="expression" dxfId="257" priority="339" stopIfTrue="1">
      <formula>BA23&gt;0</formula>
    </cfRule>
  </conditionalFormatting>
  <conditionalFormatting sqref="AR27">
    <cfRule type="expression" dxfId="256" priority="329" stopIfTrue="1">
      <formula>BA27&gt;0</formula>
    </cfRule>
  </conditionalFormatting>
  <conditionalFormatting sqref="AR28:AR29">
    <cfRule type="expression" dxfId="255" priority="321" stopIfTrue="1">
      <formula>BA28&gt;0</formula>
    </cfRule>
  </conditionalFormatting>
  <conditionalFormatting sqref="AS49">
    <cfRule type="expression" dxfId="254" priority="227" stopIfTrue="1">
      <formula>BB49&gt;0</formula>
    </cfRule>
  </conditionalFormatting>
  <conditionalFormatting sqref="AS51">
    <cfRule type="expression" dxfId="253" priority="202" stopIfTrue="1">
      <formula>BB51&gt;0</formula>
    </cfRule>
  </conditionalFormatting>
  <conditionalFormatting sqref="AS39">
    <cfRule type="expression" dxfId="252" priority="193" stopIfTrue="1">
      <formula>BB39&gt;0</formula>
    </cfRule>
  </conditionalFormatting>
  <conditionalFormatting sqref="AS72">
    <cfRule type="expression" dxfId="251" priority="183" stopIfTrue="1">
      <formula>BB72&gt;0</formula>
    </cfRule>
  </conditionalFormatting>
  <conditionalFormatting sqref="AS43">
    <cfRule type="expression" dxfId="250" priority="173" stopIfTrue="1">
      <formula>BB43&gt;0</formula>
    </cfRule>
  </conditionalFormatting>
  <conditionalFormatting sqref="AS70">
    <cfRule type="expression" dxfId="249" priority="155" stopIfTrue="1">
      <formula>BB70&gt;0</formula>
    </cfRule>
  </conditionalFormatting>
  <conditionalFormatting sqref="AS50">
    <cfRule type="expression" dxfId="248" priority="145" stopIfTrue="1">
      <formula>BB50&gt;0</formula>
    </cfRule>
  </conditionalFormatting>
  <conditionalFormatting sqref="AS63">
    <cfRule type="expression" dxfId="247" priority="137" stopIfTrue="1">
      <formula>BB63&gt;0</formula>
    </cfRule>
  </conditionalFormatting>
  <conditionalFormatting sqref="AS53">
    <cfRule type="expression" dxfId="246" priority="127" stopIfTrue="1">
      <formula>BB53&gt;0</formula>
    </cfRule>
  </conditionalFormatting>
  <conditionalFormatting sqref="AS40">
    <cfRule type="expression" dxfId="245" priority="117" stopIfTrue="1">
      <formula>BB40&gt;0</formula>
    </cfRule>
  </conditionalFormatting>
  <conditionalFormatting sqref="AS42">
    <cfRule type="expression" dxfId="244" priority="107" stopIfTrue="1">
      <formula>BB42&gt;0</formula>
    </cfRule>
  </conditionalFormatting>
  <conditionalFormatting sqref="AS41">
    <cfRule type="expression" dxfId="243" priority="84" stopIfTrue="1">
      <formula>BB41&gt;0</formula>
    </cfRule>
  </conditionalFormatting>
  <conditionalFormatting sqref="AS65:AS67">
    <cfRule type="expression" dxfId="242" priority="77" stopIfTrue="1">
      <formula>BB65&gt;0</formula>
    </cfRule>
  </conditionalFormatting>
  <conditionalFormatting sqref="AS73:AS79">
    <cfRule type="expression" dxfId="241" priority="68" stopIfTrue="1">
      <formula>BB73&gt;0</formula>
    </cfRule>
  </conditionalFormatting>
  <conditionalFormatting sqref="AS59">
    <cfRule type="expression" dxfId="240" priority="61" stopIfTrue="1">
      <formula>BB59&gt;0</formula>
    </cfRule>
  </conditionalFormatting>
  <conditionalFormatting sqref="AS71">
    <cfRule type="expression" dxfId="239" priority="53" stopIfTrue="1">
      <formula>BB71&gt;0</formula>
    </cfRule>
  </conditionalFormatting>
  <conditionalFormatting sqref="AS68">
    <cfRule type="expression" dxfId="238" priority="46" stopIfTrue="1">
      <formula>BB68&gt;0</formula>
    </cfRule>
  </conditionalFormatting>
  <conditionalFormatting sqref="AS69">
    <cfRule type="expression" dxfId="237" priority="39" stopIfTrue="1">
      <formula>BB69&gt;0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28" fitToWidth="0" fitToHeight="0" pageOrder="overThenDown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2" stopIfTrue="1" id="{2F53C814-381C-4EDD-B15E-C17B73141DF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63" stopIfTrue="1" id="{A65DAED4-019D-45EB-A54B-F8871A9F0DA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64" stopIfTrue="1" id="{5B215C26-D9A2-4FFF-B785-6320E91334B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AC26:AI29 V26:AA29 J24:Q25 T24:AQ25</xm:sqref>
        </x14:conditionalFormatting>
        <x14:conditionalFormatting xmlns:xm="http://schemas.microsoft.com/office/excel/2006/main">
          <x14:cfRule type="expression" priority="358" stopIfTrue="1" id="{84784A53-236D-4FDC-A011-F9C72D1AF7E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C21:H21 E22:H22 C22 C124:F124 C125</xm:sqref>
        </x14:conditionalFormatting>
        <x14:conditionalFormatting xmlns:xm="http://schemas.microsoft.com/office/excel/2006/main">
          <x14:cfRule type="expression" priority="357" stopIfTrue="1" id="{1167FCA6-13F2-43DA-8161-0EF131C0362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59" stopIfTrue="1" id="{AF826AFF-88E3-436F-A264-97ED585749B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60" stopIfTrue="1" id="{D72430DF-9E11-4A76-B54A-CE2733921EB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AQ21:AQ22 AK21:AK22 AM21:AM22 AO21:AO22 T21:AI22 J21:Q22</xm:sqref>
        </x14:conditionalFormatting>
        <x14:conditionalFormatting xmlns:xm="http://schemas.microsoft.com/office/excel/2006/main">
          <x14:cfRule type="expression" priority="354" stopIfTrue="1" id="{141273C8-926B-4C24-A8BB-5E47FD11882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55" stopIfTrue="1" id="{99EFD28B-D140-4E09-A2D4-CFAAA0F8E62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56" stopIfTrue="1" id="{76F56BA2-2C15-45EF-A1A0-9011EB6BC80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AJ21:AJ22 AL21:AL22 AN21:AN22 AP21:AP22</xm:sqref>
        </x14:conditionalFormatting>
        <x14:conditionalFormatting xmlns:xm="http://schemas.microsoft.com/office/excel/2006/main">
          <x14:cfRule type="expression" priority="351" stopIfTrue="1" id="{F2D9EFD4-A811-4173-A3C7-345A76670F8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C11:H20</xm:sqref>
        </x14:conditionalFormatting>
        <x14:conditionalFormatting xmlns:xm="http://schemas.microsoft.com/office/excel/2006/main">
          <x14:cfRule type="expression" priority="350" stopIfTrue="1" id="{5A34FE77-0FF2-4373-AA12-4B7F9A8130C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52" stopIfTrue="1" id="{A6856C4C-222C-4870-95D5-C4392435184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53" stopIfTrue="1" id="{5673FCCF-959B-41E4-9AA2-264F78382B8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J11:AQ20</xm:sqref>
        </x14:conditionalFormatting>
        <x14:conditionalFormatting xmlns:xm="http://schemas.microsoft.com/office/excel/2006/main">
          <x14:cfRule type="expression" priority="348" stopIfTrue="1" id="{849D89AC-A71D-468D-82A6-160BF457386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49" stopIfTrue="1" id="{E05DAC54-FAD4-4F05-9349-CA2D2E8930D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I26:I29 I11:I23</xm:sqref>
        </x14:conditionalFormatting>
        <x14:conditionalFormatting xmlns:xm="http://schemas.microsoft.com/office/excel/2006/main">
          <x14:cfRule type="expression" priority="344" stopIfTrue="1" id="{0E71038F-203D-49B5-894E-AA02C367A72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C26:H26</xm:sqref>
        </x14:conditionalFormatting>
        <x14:conditionalFormatting xmlns:xm="http://schemas.microsoft.com/office/excel/2006/main">
          <x14:cfRule type="expression" priority="343" stopIfTrue="1" id="{713C485F-673F-4C9B-A4E2-25C4EA4F48C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45" stopIfTrue="1" id="{2CFAC91B-508C-4362-A184-CD5BACD5398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46" stopIfTrue="1" id="{302C03FD-86C5-4C47-8079-83E97408CC6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AQ26 AK26 AM26 AO26 J26:R26 T26:U26</xm:sqref>
        </x14:conditionalFormatting>
        <x14:conditionalFormatting xmlns:xm="http://schemas.microsoft.com/office/excel/2006/main">
          <x14:cfRule type="expression" priority="340" stopIfTrue="1" id="{736937F3-C047-44E9-97C0-B71A70313B4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41" stopIfTrue="1" id="{7F58E314-EEDF-4E17-BE16-6B4897AD130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42" stopIfTrue="1" id="{6AF0BF50-D858-48FD-8B97-9F297A40474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AJ26 AL26 AN26 AP26</xm:sqref>
        </x14:conditionalFormatting>
        <x14:conditionalFormatting xmlns:xm="http://schemas.microsoft.com/office/excel/2006/main">
          <x14:cfRule type="expression" priority="336" stopIfTrue="1" id="{6DD44FF8-5AB2-4EB7-844B-837801B13F4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C23:H23</xm:sqref>
        </x14:conditionalFormatting>
        <x14:conditionalFormatting xmlns:xm="http://schemas.microsoft.com/office/excel/2006/main">
          <x14:cfRule type="expression" priority="335" stopIfTrue="1" id="{1BEEC36A-8535-4B76-BD76-B15EE50D243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37" stopIfTrue="1" id="{A556ADE9-4F86-4805-9806-D2D8F1DA988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38" stopIfTrue="1" id="{A60B97B3-9B06-430B-9598-BF45FF361BF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J23:Q23 T23:AI23 AQ23 AK23 AM23 AO23</xm:sqref>
        </x14:conditionalFormatting>
        <x14:conditionalFormatting xmlns:xm="http://schemas.microsoft.com/office/excel/2006/main">
          <x14:cfRule type="expression" priority="332" stopIfTrue="1" id="{5A6742FC-1568-41FC-B0C9-71DD39A8D93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33" stopIfTrue="1" id="{2D023C12-D020-4020-88D2-726A468E5D0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34" stopIfTrue="1" id="{6C749A79-8F93-4B0E-9ED5-27DACE2C415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AJ23 AL23 AN23 AP23</xm:sqref>
        </x14:conditionalFormatting>
        <x14:conditionalFormatting xmlns:xm="http://schemas.microsoft.com/office/excel/2006/main">
          <x14:cfRule type="expression" priority="330" stopIfTrue="1" id="{B780FC41-55F0-4132-A0A7-539B64D60D9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31" stopIfTrue="1" id="{EA952500-C19F-420F-89C9-C8E0E78D998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I31:I33</xm:sqref>
        </x14:conditionalFormatting>
        <x14:conditionalFormatting xmlns:xm="http://schemas.microsoft.com/office/excel/2006/main">
          <x14:cfRule type="expression" priority="326" stopIfTrue="1" id="{53C7E4E5-AC81-47F8-B14D-BCCC1D3535D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C27:H27</xm:sqref>
        </x14:conditionalFormatting>
        <x14:conditionalFormatting xmlns:xm="http://schemas.microsoft.com/office/excel/2006/main">
          <x14:cfRule type="expression" priority="325" stopIfTrue="1" id="{B44267B4-ADB8-4693-9EAF-2FD1F610EC4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27" stopIfTrue="1" id="{11C9F577-6970-4C1B-9E52-297562D966D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28" stopIfTrue="1" id="{103FDF2B-C220-4956-B62C-C0D333D66AD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AQ27 AK27 AM27 AO27 J27:R27 T27:U27</xm:sqref>
        </x14:conditionalFormatting>
        <x14:conditionalFormatting xmlns:xm="http://schemas.microsoft.com/office/excel/2006/main">
          <x14:cfRule type="expression" priority="322" stopIfTrue="1" id="{F5779963-42E8-4AFD-9FBF-43DFF662F74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23" stopIfTrue="1" id="{17DDD198-720A-4AC4-9C27-8EE70100168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24" stopIfTrue="1" id="{7CE10642-4BB4-4BD9-842A-62FA1E35818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AJ27 AL27 AN27 AP27</xm:sqref>
        </x14:conditionalFormatting>
        <x14:conditionalFormatting xmlns:xm="http://schemas.microsoft.com/office/excel/2006/main">
          <x14:cfRule type="expression" priority="318" stopIfTrue="1" id="{BBD379DD-A62C-4B61-9AA7-1065CD8EA15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C28:H29</xm:sqref>
        </x14:conditionalFormatting>
        <x14:conditionalFormatting xmlns:xm="http://schemas.microsoft.com/office/excel/2006/main">
          <x14:cfRule type="expression" priority="317" stopIfTrue="1" id="{21C6A9C1-D676-45D9-96B7-77D3F7C83E3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19" stopIfTrue="1" id="{BB82A594-38E8-4A1F-9A4E-5C2B89E4DB3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20" stopIfTrue="1" id="{19FF7284-E241-4F28-AD74-CEBCB82D8B9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AQ28:AQ29 AK28:AK29 AM28:AM29 AO28:AO29 J29:U29 J28:R28 T28:U28</xm:sqref>
        </x14:conditionalFormatting>
        <x14:conditionalFormatting xmlns:xm="http://schemas.microsoft.com/office/excel/2006/main">
          <x14:cfRule type="expression" priority="314" stopIfTrue="1" id="{301DD0B3-CA53-46FB-9BB3-DF38EB24A0D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15" stopIfTrue="1" id="{BFD71CC9-E844-4EB2-BA41-3862BB04505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16" stopIfTrue="1" id="{F0BAA034-4E86-43FD-BD6B-DF4BE093BCD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AJ28:AJ29 AL28:AL29 AN28:AN29 AP28:AP29</xm:sqref>
        </x14:conditionalFormatting>
        <x14:conditionalFormatting xmlns:xm="http://schemas.microsoft.com/office/excel/2006/main">
          <x14:cfRule type="expression" priority="311" stopIfTrue="1" id="{E6F3C0BF-9067-4275-9A5E-8D20DC7104F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12" stopIfTrue="1" id="{97F866A9-7ABB-498D-8EFE-4E84AFCD693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13" stopIfTrue="1" id="{31F6BE09-58D7-4BD5-B293-DA6D7B18DF5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R21:S22</xm:sqref>
        </x14:conditionalFormatting>
        <x14:conditionalFormatting xmlns:xm="http://schemas.microsoft.com/office/excel/2006/main">
          <x14:cfRule type="expression" priority="310" stopIfTrue="1" id="{D18D2589-E352-420F-AE60-260367229DB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C24:H25</xm:sqref>
        </x14:conditionalFormatting>
        <x14:conditionalFormatting xmlns:xm="http://schemas.microsoft.com/office/excel/2006/main">
          <x14:cfRule type="expression" priority="308" stopIfTrue="1" id="{0C5D050D-5FEE-48A8-9ACC-A2E560461DA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09" stopIfTrue="1" id="{8291C661-ACE7-42A7-8797-63D6A19C009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I24:I25</xm:sqref>
        </x14:conditionalFormatting>
        <x14:conditionalFormatting xmlns:xm="http://schemas.microsoft.com/office/excel/2006/main">
          <x14:cfRule type="expression" priority="307" stopIfTrue="1" id="{C4B77E8C-593F-4D48-B891-4EC41BCB672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expression" priority="271" stopIfTrue="1" id="{017A570A-25A9-4BE0-B5A4-4D203D9726C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D125</xm:sqref>
        </x14:conditionalFormatting>
        <x14:conditionalFormatting xmlns:xm="http://schemas.microsoft.com/office/excel/2006/main">
          <x14:cfRule type="expression" priority="302" stopIfTrue="1" id="{1FC313F5-8803-4AC1-8B30-DB52AB993AD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E125</xm:sqref>
        </x14:conditionalFormatting>
        <x14:conditionalFormatting xmlns:xm="http://schemas.microsoft.com/office/excel/2006/main">
          <x14:cfRule type="expression" priority="222" stopIfTrue="1" id="{4DCE3F11-508D-4980-B81C-FE228E2B46F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223" stopIfTrue="1" id="{17389655-D7C0-4BF2-8796-00793A96F3E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expression" priority="224" stopIfTrue="1" id="{5C1F2AD2-6207-44B0-B64E-30FF64B2E02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225" stopIfTrue="1" id="{64A926D1-D379-4869-A862-33B551522A5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26" stopIfTrue="1" id="{8F42809C-F1A8-48D0-B3AF-90F413447425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J49:Q49 S49:AR49</xm:sqref>
        </x14:conditionalFormatting>
        <x14:conditionalFormatting xmlns:xm="http://schemas.microsoft.com/office/excel/2006/main">
          <x14:cfRule type="expression" priority="221" stopIfTrue="1" id="{21CA2F18-0BA9-464E-970E-1B4EB9D7F63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C49:D49</xm:sqref>
        </x14:conditionalFormatting>
        <x14:conditionalFormatting xmlns:xm="http://schemas.microsoft.com/office/excel/2006/main">
          <x14:cfRule type="expression" priority="220" stopIfTrue="1" id="{A3B812A6-1116-400C-89AB-BFAE40E9D12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C49:D49</xm:sqref>
        </x14:conditionalFormatting>
        <x14:conditionalFormatting xmlns:xm="http://schemas.microsoft.com/office/excel/2006/main">
          <x14:cfRule type="expression" priority="219" stopIfTrue="1" id="{2451FA23-4FCA-42B3-93BC-2032D319DD9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213" stopIfTrue="1" id="{BF82FDDD-0EDA-4B10-806E-EAC1EE00A26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214" stopIfTrue="1" id="{B2392C0E-C38E-473B-AAF9-38E06865599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I54 I52</xm:sqref>
        </x14:conditionalFormatting>
        <x14:conditionalFormatting xmlns:xm="http://schemas.microsoft.com/office/excel/2006/main">
          <x14:cfRule type="expression" priority="215" stopIfTrue="1" id="{0B9331C6-225E-4FF7-AFBA-62CB33BBC04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216" stopIfTrue="1" id="{C46F920F-AB7A-43CB-AEF2-7A1127FC7B7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17" stopIfTrue="1" id="{C036170C-3737-4B35-B67E-29A650A822F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J54:Q54 J52:Q52 S54:AR54 S52:AR52</xm:sqref>
        </x14:conditionalFormatting>
        <x14:conditionalFormatting xmlns:xm="http://schemas.microsoft.com/office/excel/2006/main">
          <x14:cfRule type="expression" priority="211" stopIfTrue="1" id="{A9625CBD-09D4-4D7E-B5E8-C7909123ACD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C54:H54 C52:H52</xm:sqref>
        </x14:conditionalFormatting>
        <x14:conditionalFormatting xmlns:xm="http://schemas.microsoft.com/office/excel/2006/main">
          <x14:cfRule type="expression" priority="204" stopIfTrue="1" id="{7A9A3353-5822-4F25-B5B9-EC29044C5E1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205" stopIfTrue="1" id="{4B3D670A-3522-46BC-99BB-5197E9A1C085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I80</xm:sqref>
        </x14:conditionalFormatting>
        <x14:conditionalFormatting xmlns:xm="http://schemas.microsoft.com/office/excel/2006/main">
          <x14:cfRule type="expression" priority="206" stopIfTrue="1" id="{E8406CE7-B309-4BA2-B464-09C4B7BBFF6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207" stopIfTrue="1" id="{855B8D67-24A5-4C00-9B2A-4AFE8E4629C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08" stopIfTrue="1" id="{B18307DA-DBF4-4335-A4A5-2E40178CEC0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J80:Q80 S80:AR80</xm:sqref>
        </x14:conditionalFormatting>
        <x14:conditionalFormatting xmlns:xm="http://schemas.microsoft.com/office/excel/2006/main">
          <x14:cfRule type="expression" priority="203" stopIfTrue="1" id="{33341203-4D4B-4DEA-B0C7-144D8598269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C80:E80</xm:sqref>
        </x14:conditionalFormatting>
        <x14:conditionalFormatting xmlns:xm="http://schemas.microsoft.com/office/excel/2006/main">
          <x14:cfRule type="expression" priority="197" stopIfTrue="1" id="{76CBB645-2FEB-4C94-B027-EEAA799C221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98" stopIfTrue="1" id="{5CDAB793-B5FE-4361-99BB-AA2BE81AC074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I51</xm:sqref>
        </x14:conditionalFormatting>
        <x14:conditionalFormatting xmlns:xm="http://schemas.microsoft.com/office/excel/2006/main">
          <x14:cfRule type="expression" priority="199" stopIfTrue="1" id="{582F6C01-2BA8-4928-96CB-FB35CEE0596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200" stopIfTrue="1" id="{B110551A-8604-4AEF-A17F-5AE6FA00DED9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01" stopIfTrue="1" id="{FA3375F7-AC76-4BA7-9AD6-73B48FD4066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J51:Q51 S51:AR51</xm:sqref>
        </x14:conditionalFormatting>
        <x14:conditionalFormatting xmlns:xm="http://schemas.microsoft.com/office/excel/2006/main">
          <x14:cfRule type="expression" priority="195" stopIfTrue="1" id="{80B51B59-7FC7-4C22-8062-CC5B9605A53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C51</xm:sqref>
        </x14:conditionalFormatting>
        <x14:conditionalFormatting xmlns:xm="http://schemas.microsoft.com/office/excel/2006/main">
          <x14:cfRule type="expression" priority="196" stopIfTrue="1" id="{6CFF65E3-66E4-4EE1-A03E-D16784CBDF2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E51:H51</xm:sqref>
        </x14:conditionalFormatting>
        <x14:conditionalFormatting xmlns:xm="http://schemas.microsoft.com/office/excel/2006/main">
          <x14:cfRule type="expression" priority="194" stopIfTrue="1" id="{129A29A6-9220-4686-A27E-5A5715C8F6D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188" stopIfTrue="1" id="{9D8E6868-6F54-4E74-8251-C60688DBD1E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89" stopIfTrue="1" id="{B4EF2F6C-3634-4D4A-9A51-322018033B49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90" stopIfTrue="1" id="{060697D8-85DA-46C6-9E54-37B484451D25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91" stopIfTrue="1" id="{E6F83C0A-0A3E-4750-9B21-01FAA4810311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92" stopIfTrue="1" id="{CD57F747-33A9-4C15-96AB-ADEEDA46AC56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J39:Q39 S39:AR39</xm:sqref>
        </x14:conditionalFormatting>
        <x14:conditionalFormatting xmlns:xm="http://schemas.microsoft.com/office/excel/2006/main">
          <x14:cfRule type="expression" priority="187" stopIfTrue="1" id="{37399B74-85E2-4217-B68C-544231882C5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C39:H39</xm:sqref>
        </x14:conditionalFormatting>
        <x14:conditionalFormatting xmlns:xm="http://schemas.microsoft.com/office/excel/2006/main">
          <x14:cfRule type="expression" priority="184" stopIfTrue="1" id="{2DC7D318-1BDE-4A29-8DFF-C6740E7FA87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85" stopIfTrue="1" id="{14A95D5B-3B61-49E2-8F7E-B24148AB232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86" stopIfTrue="1" id="{3499007D-F9B6-4C7E-83AD-38065165740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R39</xm:sqref>
        </x14:conditionalFormatting>
        <x14:conditionalFormatting xmlns:xm="http://schemas.microsoft.com/office/excel/2006/main">
          <x14:cfRule type="expression" priority="178" stopIfTrue="1" id="{58BC02FE-0021-4347-8B9D-F2AD5D96F73C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79" stopIfTrue="1" id="{84CFE15F-EC71-461D-B43C-55D7E9FB00E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I72</xm:sqref>
        </x14:conditionalFormatting>
        <x14:conditionalFormatting xmlns:xm="http://schemas.microsoft.com/office/excel/2006/main">
          <x14:cfRule type="expression" priority="180" stopIfTrue="1" id="{2BD2EDA8-4ABF-4FF1-8C9E-C925B735CCA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81" stopIfTrue="1" id="{9163FF30-6C54-4439-B0E3-E0E0A77EF1C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82" stopIfTrue="1" id="{28C380EC-EAF8-47DD-B367-6B5977B137E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J72:Q72 S72:AR72</xm:sqref>
        </x14:conditionalFormatting>
        <x14:conditionalFormatting xmlns:xm="http://schemas.microsoft.com/office/excel/2006/main">
          <x14:cfRule type="expression" priority="177" stopIfTrue="1" id="{329408DA-9668-4E8E-BC5C-DD1EEC85246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C72:H72</xm:sqref>
        </x14:conditionalFormatting>
        <x14:conditionalFormatting xmlns:xm="http://schemas.microsoft.com/office/excel/2006/main">
          <x14:cfRule type="expression" priority="174" stopIfTrue="1" id="{68B56887-1916-4686-A53F-1F45E832289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75" stopIfTrue="1" id="{9813F8AA-7976-4EB0-A49A-A15FA6BD1CD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76" stopIfTrue="1" id="{A2B47DAF-D80C-4A0F-AE30-C7CF0C1DECE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R72</xm:sqref>
        </x14:conditionalFormatting>
        <x14:conditionalFormatting xmlns:xm="http://schemas.microsoft.com/office/excel/2006/main">
          <x14:cfRule type="expression" priority="168" stopIfTrue="1" id="{0B1666FC-C12A-4BD6-9DC2-357278B7D866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69" stopIfTrue="1" id="{22107E2F-C406-4A39-932F-F63A3566338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170" stopIfTrue="1" id="{A8E4E72E-6D53-4989-B24C-58946C632E2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71" stopIfTrue="1" id="{9FCEF5A8-CEB6-45B1-8423-E6DD03A5DD3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72" stopIfTrue="1" id="{36F9B8DC-D8D8-432C-9F8E-9439C9B236D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J43:Q43 S43:AR43</xm:sqref>
        </x14:conditionalFormatting>
        <x14:conditionalFormatting xmlns:xm="http://schemas.microsoft.com/office/excel/2006/main">
          <x14:cfRule type="expression" priority="167" stopIfTrue="1" id="{C60AC294-E4E7-46EF-9153-C015A0ED86A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C43:E43</xm:sqref>
        </x14:conditionalFormatting>
        <x14:conditionalFormatting xmlns:xm="http://schemas.microsoft.com/office/excel/2006/main">
          <x14:cfRule type="expression" priority="161" stopIfTrue="1" id="{C9D8C1CF-779F-4E0A-9E68-DC152F31212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62" stopIfTrue="1" id="{AF3E1517-0DC9-4D01-A806-88CD273E16B4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I44 I48 I59</xm:sqref>
        </x14:conditionalFormatting>
        <x14:conditionalFormatting xmlns:xm="http://schemas.microsoft.com/office/excel/2006/main">
          <x14:cfRule type="expression" priority="163" stopIfTrue="1" id="{35F5AA28-D5B4-49C8-954B-F9CBDF4FC7D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64" stopIfTrue="1" id="{8B700E37-A724-4F70-9933-9D57EBCF537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65" stopIfTrue="1" id="{35106FD7-2AB4-43D8-8702-E67DEB0F625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J48:Q48 J44:Q44 S48:AR48 S44:AR44 S59</xm:sqref>
        </x14:conditionalFormatting>
        <x14:conditionalFormatting xmlns:xm="http://schemas.microsoft.com/office/excel/2006/main">
          <x14:cfRule type="expression" priority="160" stopIfTrue="1" id="{7E257DA5-7285-4959-A620-D7A76AE47F1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C44:H44</xm:sqref>
        </x14:conditionalFormatting>
        <x14:conditionalFormatting xmlns:xm="http://schemas.microsoft.com/office/excel/2006/main">
          <x14:cfRule type="expression" priority="159" stopIfTrue="1" id="{7E1A946E-8F25-49C0-885B-0FCCE1DAA78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C48:H48</xm:sqref>
        </x14:conditionalFormatting>
        <x14:conditionalFormatting xmlns:xm="http://schemas.microsoft.com/office/excel/2006/main">
          <x14:cfRule type="expression" priority="156" stopIfTrue="1" id="{0E1F9B13-D03F-488F-AA0D-1A697B614E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57" stopIfTrue="1" id="{2454A691-7972-47FC-B196-B86A521D658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58" stopIfTrue="1" id="{5527CDBB-5938-4D52-AA90-8E096195A87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R48</xm:sqref>
        </x14:conditionalFormatting>
        <x14:conditionalFormatting xmlns:xm="http://schemas.microsoft.com/office/excel/2006/main">
          <x14:cfRule type="expression" priority="150" stopIfTrue="1" id="{7B315ABF-906B-4CDD-9F3D-43589DC5BAC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51" stopIfTrue="1" id="{49B71C6D-20CB-468E-BDB0-555D21FA19F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I70</xm:sqref>
        </x14:conditionalFormatting>
        <x14:conditionalFormatting xmlns:xm="http://schemas.microsoft.com/office/excel/2006/main">
          <x14:cfRule type="expression" priority="152" stopIfTrue="1" id="{E6EDCC6B-FDC1-49A9-9F9D-9A94666B7661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53" stopIfTrue="1" id="{6165A097-4365-46A7-A8AB-E5A6A308E3E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54" stopIfTrue="1" id="{1D00951C-9F3A-4770-8B3C-F32E85D861AC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J70:Q70 S70:AR70</xm:sqref>
        </x14:conditionalFormatting>
        <x14:conditionalFormatting xmlns:xm="http://schemas.microsoft.com/office/excel/2006/main">
          <x14:cfRule type="expression" priority="149" stopIfTrue="1" id="{438C978F-A0AB-41CD-A0B7-BE71BFFF53E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C70:H70</xm:sqref>
        </x14:conditionalFormatting>
        <x14:conditionalFormatting xmlns:xm="http://schemas.microsoft.com/office/excel/2006/main">
          <x14:cfRule type="expression" priority="146" stopIfTrue="1" id="{6E3A8822-728D-4197-91B7-2292F35D441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47" stopIfTrue="1" id="{BB33B060-57A1-486F-A182-5835A6F7807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48" stopIfTrue="1" id="{73F40B1E-CAD9-4BA4-BF9B-FB4D2A915A4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R70</xm:sqref>
        </x14:conditionalFormatting>
        <x14:conditionalFormatting xmlns:xm="http://schemas.microsoft.com/office/excel/2006/main">
          <x14:cfRule type="expression" priority="140" stopIfTrue="1" id="{6E6402CE-95C9-445C-985C-0EDD8F80EEF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41" stopIfTrue="1" id="{592CA13D-2442-4D21-96DC-50685E79428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I50</xm:sqref>
        </x14:conditionalFormatting>
        <x14:conditionalFormatting xmlns:xm="http://schemas.microsoft.com/office/excel/2006/main">
          <x14:cfRule type="expression" priority="142" stopIfTrue="1" id="{D4373F65-C134-456E-BA0F-1655EC99908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43" stopIfTrue="1" id="{CC56C01D-71CC-4698-9250-A4D4795D0639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44" stopIfTrue="1" id="{C3EA5CEA-F23B-4027-B235-BBBD5FA9D92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J50:Q50 S50:AR50</xm:sqref>
        </x14:conditionalFormatting>
        <x14:conditionalFormatting xmlns:xm="http://schemas.microsoft.com/office/excel/2006/main">
          <x14:cfRule type="expression" priority="138" stopIfTrue="1" id="{45320A08-3030-46C8-BCF7-DB4850D3359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C50:E50</xm:sqref>
        </x14:conditionalFormatting>
        <x14:conditionalFormatting xmlns:xm="http://schemas.microsoft.com/office/excel/2006/main">
          <x14:cfRule type="expression" priority="139" stopIfTrue="1" id="{506A5B76-CFB5-4E73-AE64-5ED82F3095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F50:H50</xm:sqref>
        </x14:conditionalFormatting>
        <x14:conditionalFormatting xmlns:xm="http://schemas.microsoft.com/office/excel/2006/main">
          <x14:cfRule type="expression" priority="132" stopIfTrue="1" id="{E69BEAF1-01F9-4A82-B40A-52533895D5BC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33" stopIfTrue="1" id="{07E896E1-A6AE-44D7-87ED-72BA6891E2E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I63</xm:sqref>
        </x14:conditionalFormatting>
        <x14:conditionalFormatting xmlns:xm="http://schemas.microsoft.com/office/excel/2006/main">
          <x14:cfRule type="expression" priority="134" stopIfTrue="1" id="{5CE0237E-7ED6-4DF2-B659-D2431BAC12A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35" stopIfTrue="1" id="{5C057D5A-2E39-4CFB-BE32-6D882473438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36" stopIfTrue="1" id="{F81D59BB-48A8-461C-B0D3-12DAC667859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J63:Q63 S63:AR63</xm:sqref>
        </x14:conditionalFormatting>
        <x14:conditionalFormatting xmlns:xm="http://schemas.microsoft.com/office/excel/2006/main">
          <x14:cfRule type="expression" priority="131" stopIfTrue="1" id="{D4E51540-0687-4F14-AD33-4343E19B3A6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C63:H63</xm:sqref>
        </x14:conditionalFormatting>
        <x14:conditionalFormatting xmlns:xm="http://schemas.microsoft.com/office/excel/2006/main">
          <x14:cfRule type="expression" priority="128" stopIfTrue="1" id="{20570FFB-FD15-49D2-8CF9-FBDA11457C4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29" stopIfTrue="1" id="{AAF42EE7-606E-4180-A161-44A69230C51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30" stopIfTrue="1" id="{FBD10297-507A-4F04-B779-50C7FB17D1D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R63</xm:sqref>
        </x14:conditionalFormatting>
        <x14:conditionalFormatting xmlns:xm="http://schemas.microsoft.com/office/excel/2006/main">
          <x14:cfRule type="expression" priority="122" stopIfTrue="1" id="{44FC9BEA-CD3E-4F73-AAF3-D10E859FEA8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23" stopIfTrue="1" id="{B8C2EF4D-BFB4-4316-95A5-DE4CCBB7F19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I53</xm:sqref>
        </x14:conditionalFormatting>
        <x14:conditionalFormatting xmlns:xm="http://schemas.microsoft.com/office/excel/2006/main">
          <x14:cfRule type="expression" priority="124" stopIfTrue="1" id="{C6D00F9C-235B-43A9-957C-081D6E0ACDB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25" stopIfTrue="1" id="{35E6FA55-DAA4-42C8-B95C-807D15F9C86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26" stopIfTrue="1" id="{FE5E6F18-D44B-4767-BB9F-F6F034DD5A6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J53:Q53 S53:AR53</xm:sqref>
        </x14:conditionalFormatting>
        <x14:conditionalFormatting xmlns:xm="http://schemas.microsoft.com/office/excel/2006/main">
          <x14:cfRule type="expression" priority="121" stopIfTrue="1" id="{ED40E7F4-8903-4C3E-ABDE-1217B0003DC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C53:H53</xm:sqref>
        </x14:conditionalFormatting>
        <x14:conditionalFormatting xmlns:xm="http://schemas.microsoft.com/office/excel/2006/main">
          <x14:cfRule type="expression" priority="118" stopIfTrue="1" id="{1A627FA0-FC21-4FC6-8485-967AE0CC0AA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19" stopIfTrue="1" id="{61605099-218B-4D1F-8954-8D8B3441D03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20" stopIfTrue="1" id="{CC8B9BDF-CC75-498D-9415-834A3204522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R53</xm:sqref>
        </x14:conditionalFormatting>
        <x14:conditionalFormatting xmlns:xm="http://schemas.microsoft.com/office/excel/2006/main">
          <x14:cfRule type="expression" priority="112" stopIfTrue="1" id="{9B8FEADB-A6FF-4942-AFEE-EFCF06D026B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13" stopIfTrue="1" id="{4BEFD78E-D0F6-4555-A9A3-ECE9AB6F1E1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114" stopIfTrue="1" id="{B4F19242-21DF-49C1-9708-E0A9E8A46AA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15" stopIfTrue="1" id="{FE3FAAB1-711B-4604-9B82-DDD591ABC76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16" stopIfTrue="1" id="{B606C316-7568-430F-B634-B69E229627E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J40:Q40 S40:AR40</xm:sqref>
        </x14:conditionalFormatting>
        <x14:conditionalFormatting xmlns:xm="http://schemas.microsoft.com/office/excel/2006/main">
          <x14:cfRule type="expression" priority="111" stopIfTrue="1" id="{78DECD78-F8DE-4369-9345-DA2B1CA77AA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C40:H40</xm:sqref>
        </x14:conditionalFormatting>
        <x14:conditionalFormatting xmlns:xm="http://schemas.microsoft.com/office/excel/2006/main">
          <x14:cfRule type="expression" priority="108" stopIfTrue="1" id="{059EE33C-2D62-453B-B43F-AD2C7A3D0FA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09" stopIfTrue="1" id="{2D94960C-08A3-48E0-9FDA-AB5885E5A78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10" stopIfTrue="1" id="{8420A856-DF02-45CD-A7B6-6D7106DD34C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R40</xm:sqref>
        </x14:conditionalFormatting>
        <x14:conditionalFormatting xmlns:xm="http://schemas.microsoft.com/office/excel/2006/main">
          <x14:cfRule type="expression" priority="102" stopIfTrue="1" id="{5FD9655A-671D-4DB3-96E3-BDA45FC53A5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03" stopIfTrue="1" id="{73DD85DC-B62F-4E50-8617-91451FCF03C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I58 I42</xm:sqref>
        </x14:conditionalFormatting>
        <x14:conditionalFormatting xmlns:xm="http://schemas.microsoft.com/office/excel/2006/main">
          <x14:cfRule type="expression" priority="104" stopIfTrue="1" id="{D5589657-42C3-457A-AB8C-6B736795306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105" stopIfTrue="1" id="{7EC4A8DE-3F5E-4FA2-B49A-6056C404A5F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06" stopIfTrue="1" id="{C77FC47E-A842-4EFA-828B-118FA7EBF95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J42:Q42 S42:AR42 S58 AR58</xm:sqref>
        </x14:conditionalFormatting>
        <x14:conditionalFormatting xmlns:xm="http://schemas.microsoft.com/office/excel/2006/main">
          <x14:cfRule type="expression" priority="101" stopIfTrue="1" id="{DB58156B-65C6-43E2-ADAD-A89EEBE00A4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C42:H42 C58</xm:sqref>
        </x14:conditionalFormatting>
        <x14:conditionalFormatting xmlns:xm="http://schemas.microsoft.com/office/excel/2006/main">
          <x14:cfRule type="expression" priority="98" stopIfTrue="1" id="{BEB10909-C47F-4A92-9761-EC2D9C26323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99" stopIfTrue="1" id="{98F2614C-9934-4F34-AD77-C007A0E5BC1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00" stopIfTrue="1" id="{D1684722-4D08-4FCC-A275-8271421D25C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9" tint="0.39994506668294322"/>
                </patternFill>
              </fill>
            </x14:dxf>
          </x14:cfRule>
          <xm:sqref>R42</xm:sqref>
        </x14:conditionalFormatting>
        <x14:conditionalFormatting xmlns:xm="http://schemas.microsoft.com/office/excel/2006/main">
          <x14:cfRule type="expression" priority="97" stopIfTrue="1" id="{4B38157B-FC3E-4E25-BE3B-5F789445CBF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D58:E58</xm:sqref>
        </x14:conditionalFormatting>
        <x14:conditionalFormatting xmlns:xm="http://schemas.microsoft.com/office/excel/2006/main">
          <x14:cfRule type="expression" priority="92" stopIfTrue="1" id="{ED00E608-0369-4BBE-920C-3034F0C6D2D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93" stopIfTrue="1" id="{E9328920-E865-4AF3-BCD7-2A9288E955E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I60</xm:sqref>
        </x14:conditionalFormatting>
        <x14:conditionalFormatting xmlns:xm="http://schemas.microsoft.com/office/excel/2006/main">
          <x14:cfRule type="expression" priority="94" stopIfTrue="1" id="{083D374C-A1B2-4FFB-9DD7-1474F30C3C1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95" stopIfTrue="1" id="{6DA36BC7-5CAF-4366-822C-D3A3CFB3E32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6" stopIfTrue="1" id="{5CAAC145-1006-4A89-8F78-609A24B11B7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J60:AS60 AR81</xm:sqref>
        </x14:conditionalFormatting>
        <x14:conditionalFormatting xmlns:xm="http://schemas.microsoft.com/office/excel/2006/main">
          <x14:cfRule type="expression" priority="91" stopIfTrue="1" id="{F9BC0855-FE57-4D3F-95BE-2EED467C864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C60:H60</xm:sqref>
        </x14:conditionalFormatting>
        <x14:conditionalFormatting xmlns:xm="http://schemas.microsoft.com/office/excel/2006/main">
          <x14:cfRule type="expression" priority="86" stopIfTrue="1" id="{791F2500-233A-4DD0-87D6-C06F32A4CB76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87" stopIfTrue="1" id="{20D87148-609B-47A7-9AA3-2610B0FA415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I81</xm:sqref>
        </x14:conditionalFormatting>
        <x14:conditionalFormatting xmlns:xm="http://schemas.microsoft.com/office/excel/2006/main">
          <x14:cfRule type="expression" priority="88" stopIfTrue="1" id="{C2F453B3-A2A3-48D5-B40D-B641C74110A5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89" stopIfTrue="1" id="{946126CD-1DCB-4263-9C0A-1060B7DEF1DC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0" stopIfTrue="1" id="{3E1E3EE2-410D-4FA1-8752-5B8657DC4C5B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J81:AQ81 AS81</xm:sqref>
        </x14:conditionalFormatting>
        <x14:conditionalFormatting xmlns:xm="http://schemas.microsoft.com/office/excel/2006/main">
          <x14:cfRule type="expression" priority="85" stopIfTrue="1" id="{7FCCE372-0A0D-4292-A741-A3230EC0B03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C81:H81</xm:sqref>
        </x14:conditionalFormatting>
        <x14:conditionalFormatting xmlns:xm="http://schemas.microsoft.com/office/excel/2006/main">
          <x14:cfRule type="expression" priority="79" stopIfTrue="1" id="{FA814760-3AE9-4473-93C5-D334CB5C2DE2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80" stopIfTrue="1" id="{6E495C09-98C6-4378-A7FC-674D2985E0F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I41</xm:sqref>
        </x14:conditionalFormatting>
        <x14:conditionalFormatting xmlns:xm="http://schemas.microsoft.com/office/excel/2006/main">
          <x14:cfRule type="expression" priority="81" stopIfTrue="1" id="{8CFE33EA-8EB5-46F4-9DB7-C7F6BC23D661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82" stopIfTrue="1" id="{08F6A8EA-3A82-447A-B641-D825FB80D24B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83" stopIfTrue="1" id="{38CBF2AE-997D-4FE5-B1AD-31460092EA34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J41:Q41 S41:AR41</xm:sqref>
        </x14:conditionalFormatting>
        <x14:conditionalFormatting xmlns:xm="http://schemas.microsoft.com/office/excel/2006/main">
          <x14:cfRule type="expression" priority="78" stopIfTrue="1" id="{D1F5D3A5-CF51-43AB-9682-5FEB50EAEB4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C41:H41</xm:sqref>
        </x14:conditionalFormatting>
        <x14:conditionalFormatting xmlns:xm="http://schemas.microsoft.com/office/excel/2006/main">
          <x14:cfRule type="expression" priority="72" stopIfTrue="1" id="{0E295DAF-5269-4F9C-B1D3-F889879A76C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73" stopIfTrue="1" id="{94F0DFCF-0CCD-4271-9F21-929FC4F1D706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I65:I67</xm:sqref>
        </x14:conditionalFormatting>
        <x14:conditionalFormatting xmlns:xm="http://schemas.microsoft.com/office/excel/2006/main">
          <x14:cfRule type="expression" priority="74" stopIfTrue="1" id="{EAC42464-E141-4311-A0B8-CC2E6E62ED0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75" stopIfTrue="1" id="{F42AFFB2-7989-4691-833D-094E854A47CC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76" stopIfTrue="1" id="{6BDC00C0-ED34-42CE-8831-9AF52388239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J65:Q67 S65:AR67</xm:sqref>
        </x14:conditionalFormatting>
        <x14:conditionalFormatting xmlns:xm="http://schemas.microsoft.com/office/excel/2006/main">
          <x14:cfRule type="expression" priority="71" stopIfTrue="1" id="{721E93DA-DAAB-4643-92B5-637599145D4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C66:H66</xm:sqref>
        </x14:conditionalFormatting>
        <x14:conditionalFormatting xmlns:xm="http://schemas.microsoft.com/office/excel/2006/main">
          <x14:cfRule type="expression" priority="70" stopIfTrue="1" id="{062C8855-AE66-464A-B937-1EF777A4E43F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C65:H65</xm:sqref>
        </x14:conditionalFormatting>
        <x14:conditionalFormatting xmlns:xm="http://schemas.microsoft.com/office/excel/2006/main">
          <x14:cfRule type="expression" priority="69" stopIfTrue="1" id="{9C1B66F6-733D-4377-BDAD-5147F6F3648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C67:H67</xm:sqref>
        </x14:conditionalFormatting>
        <x14:conditionalFormatting xmlns:xm="http://schemas.microsoft.com/office/excel/2006/main">
          <x14:cfRule type="expression" priority="63" stopIfTrue="1" id="{190E4F5B-3BAB-4251-A468-B109C6E07C9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64" stopIfTrue="1" id="{97A7A9A2-6195-4065-8C83-01DB63DA4F15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I73:I79</xm:sqref>
        </x14:conditionalFormatting>
        <x14:conditionalFormatting xmlns:xm="http://schemas.microsoft.com/office/excel/2006/main">
          <x14:cfRule type="expression" priority="65" stopIfTrue="1" id="{2D47E8A9-30B4-498F-99F8-D8CB4ADD13F7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66" stopIfTrue="1" id="{1B68302E-6302-45F1-9B27-D2926E28AC0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7" stopIfTrue="1" id="{72E8B24E-1D80-4DFB-A198-2E64519E93EE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J73:Q79 S73:AR79</xm:sqref>
        </x14:conditionalFormatting>
        <x14:conditionalFormatting xmlns:xm="http://schemas.microsoft.com/office/excel/2006/main">
          <x14:cfRule type="expression" priority="62" stopIfTrue="1" id="{D710D5D1-DC83-47EF-A519-93A5D4FAE47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C73:H79</xm:sqref>
        </x14:conditionalFormatting>
        <x14:conditionalFormatting xmlns:xm="http://schemas.microsoft.com/office/excel/2006/main">
          <x14:cfRule type="expression" priority="58" stopIfTrue="1" id="{7DB2EB60-956B-469F-AAF2-55DFA23B186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59" stopIfTrue="1" id="{B66D0A09-C0A0-4A8D-951C-FB4C8027CBF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0" stopIfTrue="1" id="{2EB8FC80-51ED-4774-B471-C8C45B9BA5D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J59:Q59 T59:AQ59</xm:sqref>
        </x14:conditionalFormatting>
        <x14:conditionalFormatting xmlns:xm="http://schemas.microsoft.com/office/excel/2006/main">
          <x14:cfRule type="expression" priority="55" stopIfTrue="1" id="{A7452B99-F85A-4B72-B3BE-B95C3EB60D7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C59:H59</xm:sqref>
        </x14:conditionalFormatting>
        <x14:conditionalFormatting xmlns:xm="http://schemas.microsoft.com/office/excel/2006/main">
          <x14:cfRule type="expression" priority="54" stopIfTrue="1" id="{A9440AED-0F4D-495C-8713-9E4E10C599F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C59:H59</xm:sqref>
        </x14:conditionalFormatting>
        <x14:conditionalFormatting xmlns:xm="http://schemas.microsoft.com/office/excel/2006/main">
          <x14:cfRule type="expression" priority="48" stopIfTrue="1" id="{266CA378-D993-4FD0-ACDB-65F54B62EF0B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49" stopIfTrue="1" id="{44059C9B-A8DA-4BAD-A9B6-04D6402FDE4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50" stopIfTrue="1" id="{616DC878-33E4-49D9-A2C8-FB9191FED56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51" stopIfTrue="1" id="{4ECA1268-797D-4292-A9F7-743F61571953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52" stopIfTrue="1" id="{557C3235-AEC9-423E-8E0B-2B9A0E9F0CB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J71:Q71 S71:AR71</xm:sqref>
        </x14:conditionalFormatting>
        <x14:conditionalFormatting xmlns:xm="http://schemas.microsoft.com/office/excel/2006/main">
          <x14:cfRule type="expression" priority="47" stopIfTrue="1" id="{4DCD03DE-88BB-4BD7-B1BC-4C333840AEC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C71:H71</xm:sqref>
        </x14:conditionalFormatting>
        <x14:conditionalFormatting xmlns:xm="http://schemas.microsoft.com/office/excel/2006/main">
          <x14:cfRule type="expression" priority="41" stopIfTrue="1" id="{52B7FA58-3692-4FA8-A036-EC3DDDF63BE8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42" stopIfTrue="1" id="{4E9207BE-087D-4B0B-B251-9D0B0BAF18D0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I68</xm:sqref>
        </x14:conditionalFormatting>
        <x14:conditionalFormatting xmlns:xm="http://schemas.microsoft.com/office/excel/2006/main">
          <x14:cfRule type="expression" priority="43" stopIfTrue="1" id="{8C36C699-5473-4A7E-9BD9-D0725B9D99CD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44" stopIfTrue="1" id="{908FF905-BC63-447C-BAF2-FEE926C3B20B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45" stopIfTrue="1" id="{63777023-48E3-4E81-B9A2-D5284743807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J68:Q68 S68:AR68</xm:sqref>
        </x14:conditionalFormatting>
        <x14:conditionalFormatting xmlns:xm="http://schemas.microsoft.com/office/excel/2006/main">
          <x14:cfRule type="expression" priority="40" stopIfTrue="1" id="{87AED180-7040-4C7C-B237-54A1CCF29DC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C68:H68</xm:sqref>
        </x14:conditionalFormatting>
        <x14:conditionalFormatting xmlns:xm="http://schemas.microsoft.com/office/excel/2006/main">
          <x14:cfRule type="expression" priority="34" stopIfTrue="1" id="{37D64AA1-84E2-4623-8CD7-49CE3D1346AF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5" stopIfTrue="1" id="{76E48472-5F6E-4FE6-849C-143B5A0B816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I35:I38 I45:I47 I55:I57 I61:I62 I69 I64</xm:sqref>
        </x14:conditionalFormatting>
        <x14:conditionalFormatting xmlns:xm="http://schemas.microsoft.com/office/excel/2006/main">
          <x14:cfRule type="expression" priority="36" stopIfTrue="1" id="{521620FE-277C-46C4-AC11-F61F0BBE7449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37" stopIfTrue="1" id="{1C023868-9D60-4587-AC94-67FAEA5AF466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8" stopIfTrue="1" id="{5B7AA37A-7431-45BA-A368-1A2D16D8D04A}">
            <xm:f>'C:\Рабочая папка\Рег. фонд\Программа по кап. ремонту\Краткосрочные планы\[Сверка краткосрочных планов с рег программой (текущий).xlsb]Сверка 2019'!#REF!=1</xm:f>
            <x14:dxf>
              <fill>
                <patternFill>
                  <bgColor theme="9" tint="0.39994506668294322"/>
                </patternFill>
              </fill>
            </x14:dxf>
          </x14:cfRule>
          <xm:sqref>J69:Q69 S69:AR69 AR45 AR47 AR64 AR55:AR57 AR59</xm:sqref>
        </x14:conditionalFormatting>
        <x14:conditionalFormatting xmlns:xm="http://schemas.microsoft.com/office/excel/2006/main">
          <x14:cfRule type="expression" priority="33" stopIfTrue="1" id="{D193FCCB-417D-48F8-B827-466BAE4741B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C69:H69</xm:sqref>
        </x14:conditionalFormatting>
        <x14:conditionalFormatting xmlns:xm="http://schemas.microsoft.com/office/excel/2006/main">
          <x14:cfRule type="expression" priority="16" stopIfTrue="1" id="{0691D5CB-245F-47B3-AAB1-51CA8C4809D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D116 D118:D119</xm:sqref>
        </x14:conditionalFormatting>
        <x14:conditionalFormatting xmlns:xm="http://schemas.microsoft.com/office/excel/2006/main">
          <x14:cfRule type="expression" priority="11" stopIfTrue="1" id="{9806E34C-F885-497E-A54B-890DB567FE6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D89</xm:sqref>
        </x14:conditionalFormatting>
        <x14:conditionalFormatting xmlns:xm="http://schemas.microsoft.com/office/excel/2006/main">
          <x14:cfRule type="expression" priority="10" stopIfTrue="1" id="{242108E1-8B59-4A8E-8975-FEBE8679D2E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D90</xm:sqref>
        </x14:conditionalFormatting>
        <x14:conditionalFormatting xmlns:xm="http://schemas.microsoft.com/office/excel/2006/main">
          <x14:cfRule type="expression" priority="9" stopIfTrue="1" id="{45D83D34-F09B-4BB3-A9BF-6E7AD5C0101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D91</xm:sqref>
        </x14:conditionalFormatting>
        <x14:conditionalFormatting xmlns:xm="http://schemas.microsoft.com/office/excel/2006/main">
          <x14:cfRule type="expression" priority="8" stopIfTrue="1" id="{86CE6188-AD1B-468A-BBFE-5BC19CF57016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D93</xm:sqref>
        </x14:conditionalFormatting>
        <x14:conditionalFormatting xmlns:xm="http://schemas.microsoft.com/office/excel/2006/main">
          <x14:cfRule type="expression" priority="7" stopIfTrue="1" id="{D762AB84-06D2-4CAA-854E-F04DE990627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D94</xm:sqref>
        </x14:conditionalFormatting>
        <x14:conditionalFormatting xmlns:xm="http://schemas.microsoft.com/office/excel/2006/main">
          <x14:cfRule type="expression" priority="6" stopIfTrue="1" id="{1D6015AF-FC9B-481D-9602-46CDCA802E77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D98</xm:sqref>
        </x14:conditionalFormatting>
        <x14:conditionalFormatting xmlns:xm="http://schemas.microsoft.com/office/excel/2006/main">
          <x14:cfRule type="expression" priority="5" stopIfTrue="1" id="{4E15A3D9-598C-4B54-81B4-E73814A1B30A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D99</xm:sqref>
        </x14:conditionalFormatting>
        <x14:conditionalFormatting xmlns:xm="http://schemas.microsoft.com/office/excel/2006/main">
          <x14:cfRule type="expression" priority="4" stopIfTrue="1" id="{2ACAB659-5774-442B-ADDF-0BC5833BD9FC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expression" priority="3" stopIfTrue="1" id="{20555C1C-E656-4284-ADBA-C7784A39120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D113</xm:sqref>
        </x14:conditionalFormatting>
        <x14:conditionalFormatting xmlns:xm="http://schemas.microsoft.com/office/excel/2006/main">
          <x14:cfRule type="expression" priority="2" stopIfTrue="1" id="{E63296FA-59F4-49CA-9AB8-CEECFBBD7AC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D114</xm:sqref>
        </x14:conditionalFormatting>
        <x14:conditionalFormatting xmlns:xm="http://schemas.microsoft.com/office/excel/2006/main">
          <x14:cfRule type="expression" priority="1" stopIfTrue="1" id="{5C81E99E-C755-4834-8A7B-53D6FD0C8A1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S15"/>
  <sheetViews>
    <sheetView tabSelected="1" view="pageBreakPreview" zoomScale="85" zoomScaleNormal="85" zoomScaleSheetLayoutView="85" workbookViewId="0">
      <selection activeCell="R8" sqref="R8"/>
    </sheetView>
  </sheetViews>
  <sheetFormatPr defaultColWidth="9.140625" defaultRowHeight="15.75" x14ac:dyDescent="0.25"/>
  <cols>
    <col min="1" max="1" width="4.140625" style="179" customWidth="1"/>
    <col min="2" max="2" width="39.140625" style="179" customWidth="1"/>
    <col min="3" max="3" width="15" style="179" customWidth="1"/>
    <col min="4" max="4" width="21.42578125" style="179" customWidth="1"/>
    <col min="5" max="12" width="9.85546875" style="179" customWidth="1"/>
    <col min="13" max="13" width="16.140625" style="179" customWidth="1"/>
    <col min="14" max="14" width="16.7109375" style="179" customWidth="1"/>
    <col min="15" max="16384" width="9.140625" style="179"/>
  </cols>
  <sheetData>
    <row r="1" spans="1:19" ht="60.95" customHeight="1" x14ac:dyDescent="0.25">
      <c r="A1" s="160"/>
      <c r="B1" s="178"/>
      <c r="C1" s="178"/>
      <c r="D1" s="178"/>
      <c r="E1" s="178"/>
      <c r="F1" s="525" t="s">
        <v>101</v>
      </c>
      <c r="G1" s="525"/>
      <c r="H1" s="525"/>
      <c r="I1" s="525"/>
      <c r="J1" s="525"/>
      <c r="K1" s="525"/>
      <c r="L1" s="525"/>
      <c r="M1" s="525"/>
      <c r="N1" s="525"/>
    </row>
    <row r="2" spans="1:19" ht="26.25" customHeight="1" x14ac:dyDescent="0.25">
      <c r="A2" s="160"/>
      <c r="B2" s="178"/>
      <c r="C2" s="178"/>
      <c r="D2" s="178"/>
      <c r="E2" s="178"/>
      <c r="F2" s="161"/>
      <c r="G2" s="161"/>
      <c r="H2" s="161"/>
      <c r="I2" s="525" t="s">
        <v>167</v>
      </c>
      <c r="J2" s="525"/>
      <c r="K2" s="525"/>
      <c r="L2" s="525"/>
      <c r="M2" s="525"/>
      <c r="N2" s="525"/>
    </row>
    <row r="3" spans="1:19" ht="44.65" customHeight="1" x14ac:dyDescent="0.25">
      <c r="A3" s="160"/>
      <c r="B3" s="178"/>
      <c r="C3" s="178"/>
      <c r="D3" s="178"/>
      <c r="E3" s="178"/>
      <c r="F3" s="161"/>
      <c r="G3" s="161"/>
      <c r="H3" s="161"/>
      <c r="I3" s="161"/>
      <c r="J3" s="161"/>
      <c r="K3" s="161"/>
      <c r="L3" s="161"/>
      <c r="M3" s="161"/>
      <c r="N3" s="161"/>
    </row>
    <row r="4" spans="1:19" ht="40.700000000000003" customHeight="1" x14ac:dyDescent="0.25">
      <c r="A4" s="526" t="s">
        <v>134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</row>
    <row r="5" spans="1:19" ht="35.25" customHeight="1" x14ac:dyDescent="0.25">
      <c r="A5" s="527" t="s">
        <v>0</v>
      </c>
      <c r="B5" s="527" t="s">
        <v>62</v>
      </c>
      <c r="C5" s="528" t="s">
        <v>63</v>
      </c>
      <c r="D5" s="528" t="s">
        <v>8</v>
      </c>
      <c r="E5" s="527" t="s">
        <v>64</v>
      </c>
      <c r="F5" s="527"/>
      <c r="G5" s="527"/>
      <c r="H5" s="527"/>
      <c r="I5" s="527"/>
      <c r="J5" s="527" t="s">
        <v>9</v>
      </c>
      <c r="K5" s="527"/>
      <c r="L5" s="527"/>
      <c r="M5" s="527"/>
      <c r="N5" s="527"/>
    </row>
    <row r="6" spans="1:19" ht="47.1" customHeight="1" x14ac:dyDescent="0.25">
      <c r="A6" s="527"/>
      <c r="B6" s="527"/>
      <c r="C6" s="528"/>
      <c r="D6" s="528"/>
      <c r="E6" s="162" t="s">
        <v>65</v>
      </c>
      <c r="F6" s="162" t="s">
        <v>66</v>
      </c>
      <c r="G6" s="162" t="s">
        <v>67</v>
      </c>
      <c r="H6" s="162" t="s">
        <v>68</v>
      </c>
      <c r="I6" s="162" t="s">
        <v>22</v>
      </c>
      <c r="J6" s="162" t="s">
        <v>65</v>
      </c>
      <c r="K6" s="162" t="s">
        <v>66</v>
      </c>
      <c r="L6" s="162" t="s">
        <v>67</v>
      </c>
      <c r="M6" s="162" t="s">
        <v>68</v>
      </c>
      <c r="N6" s="162" t="s">
        <v>22</v>
      </c>
      <c r="S6" s="346"/>
    </row>
    <row r="7" spans="1:19" x14ac:dyDescent="0.25">
      <c r="A7" s="527"/>
      <c r="B7" s="527"/>
      <c r="C7" s="163" t="s">
        <v>60</v>
      </c>
      <c r="D7" s="164" t="s">
        <v>30</v>
      </c>
      <c r="E7" s="164" t="s">
        <v>59</v>
      </c>
      <c r="F7" s="164" t="s">
        <v>59</v>
      </c>
      <c r="G7" s="164" t="s">
        <v>59</v>
      </c>
      <c r="H7" s="164" t="s">
        <v>59</v>
      </c>
      <c r="I7" s="164" t="s">
        <v>59</v>
      </c>
      <c r="J7" s="164" t="s">
        <v>31</v>
      </c>
      <c r="K7" s="164" t="s">
        <v>31</v>
      </c>
      <c r="L7" s="164" t="s">
        <v>31</v>
      </c>
      <c r="M7" s="164" t="s">
        <v>31</v>
      </c>
      <c r="N7" s="164" t="s">
        <v>31</v>
      </c>
      <c r="S7" s="346"/>
    </row>
    <row r="8" spans="1:19" ht="24.95" customHeight="1" x14ac:dyDescent="0.25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</row>
    <row r="9" spans="1:19" s="180" customFormat="1" ht="33.4" customHeight="1" x14ac:dyDescent="0.25">
      <c r="A9" s="165"/>
      <c r="B9" s="165">
        <v>2020</v>
      </c>
      <c r="C9" s="166">
        <v>127547.3</v>
      </c>
      <c r="D9" s="167">
        <v>4137</v>
      </c>
      <c r="E9" s="165">
        <v>0</v>
      </c>
      <c r="F9" s="165">
        <v>12</v>
      </c>
      <c r="G9" s="165">
        <v>0</v>
      </c>
      <c r="H9" s="165">
        <v>9</v>
      </c>
      <c r="I9" s="165">
        <v>21</v>
      </c>
      <c r="J9" s="168">
        <v>0</v>
      </c>
      <c r="K9" s="168">
        <v>0</v>
      </c>
      <c r="L9" s="168">
        <v>0</v>
      </c>
      <c r="M9" s="166">
        <v>119651444.19</v>
      </c>
      <c r="N9" s="166">
        <f>M9</f>
        <v>119651444.19</v>
      </c>
    </row>
    <row r="10" spans="1:19" s="181" customFormat="1" ht="33.4" customHeight="1" thickBot="1" x14ac:dyDescent="0.3">
      <c r="A10" s="187"/>
      <c r="B10" s="188" t="s">
        <v>130</v>
      </c>
      <c r="C10" s="189">
        <f>C9</f>
        <v>127547.3</v>
      </c>
      <c r="D10" s="190">
        <f>D9</f>
        <v>4137</v>
      </c>
      <c r="E10" s="187">
        <v>0</v>
      </c>
      <c r="F10" s="187">
        <v>12</v>
      </c>
      <c r="G10" s="187">
        <f>G9</f>
        <v>0</v>
      </c>
      <c r="H10" s="187">
        <f>H9</f>
        <v>9</v>
      </c>
      <c r="I10" s="187">
        <f>I9</f>
        <v>21</v>
      </c>
      <c r="J10" s="191">
        <v>0</v>
      </c>
      <c r="K10" s="191">
        <v>0</v>
      </c>
      <c r="L10" s="191">
        <v>0</v>
      </c>
      <c r="M10" s="189">
        <f>M9</f>
        <v>119651444.19</v>
      </c>
      <c r="N10" s="189">
        <f>M9</f>
        <v>119651444.19</v>
      </c>
    </row>
    <row r="11" spans="1:19" s="182" customFormat="1" ht="30.75" customHeight="1" x14ac:dyDescent="0.25">
      <c r="A11" s="184"/>
      <c r="B11" s="185">
        <v>2021</v>
      </c>
      <c r="C11" s="303">
        <v>167206.42000000001</v>
      </c>
      <c r="D11" s="304">
        <v>6650</v>
      </c>
      <c r="E11" s="438">
        <v>0</v>
      </c>
      <c r="F11" s="438">
        <f t="shared" ref="F11:L11" si="0">F12</f>
        <v>0</v>
      </c>
      <c r="G11" s="438">
        <f t="shared" si="0"/>
        <v>0</v>
      </c>
      <c r="H11" s="304">
        <v>47</v>
      </c>
      <c r="I11" s="304">
        <f>H11</f>
        <v>47</v>
      </c>
      <c r="J11" s="186">
        <f t="shared" si="0"/>
        <v>0</v>
      </c>
      <c r="K11" s="186">
        <f t="shared" si="0"/>
        <v>0</v>
      </c>
      <c r="L11" s="186">
        <f t="shared" si="0"/>
        <v>0</v>
      </c>
      <c r="M11" s="303">
        <v>196725239.40000001</v>
      </c>
      <c r="N11" s="186">
        <f>M11</f>
        <v>196725239.40000001</v>
      </c>
    </row>
    <row r="12" spans="1:19" s="183" customFormat="1" ht="39.4" customHeight="1" thickBot="1" x14ac:dyDescent="0.3">
      <c r="A12" s="198">
        <v>1</v>
      </c>
      <c r="B12" s="198" t="s">
        <v>130</v>
      </c>
      <c r="C12" s="199">
        <f>C11</f>
        <v>167206.42000000001</v>
      </c>
      <c r="D12" s="200">
        <f>D11</f>
        <v>6650</v>
      </c>
      <c r="E12" s="439">
        <v>0</v>
      </c>
      <c r="F12" s="439">
        <v>0</v>
      </c>
      <c r="G12" s="439">
        <v>0</v>
      </c>
      <c r="H12" s="200">
        <f>H11</f>
        <v>47</v>
      </c>
      <c r="I12" s="200">
        <f>H11</f>
        <v>47</v>
      </c>
      <c r="J12" s="199">
        <v>0</v>
      </c>
      <c r="K12" s="199">
        <v>0</v>
      </c>
      <c r="L12" s="199">
        <v>0</v>
      </c>
      <c r="M12" s="199">
        <f>M11</f>
        <v>196725239.40000001</v>
      </c>
      <c r="N12" s="199">
        <f>M11</f>
        <v>196725239.40000001</v>
      </c>
    </row>
    <row r="13" spans="1:19" s="181" customFormat="1" ht="30.75" customHeight="1" x14ac:dyDescent="0.25">
      <c r="A13" s="192"/>
      <c r="B13" s="193">
        <v>2022</v>
      </c>
      <c r="C13" s="445">
        <v>160399.32999999999</v>
      </c>
      <c r="D13" s="446">
        <v>6750</v>
      </c>
      <c r="E13" s="195">
        <v>0</v>
      </c>
      <c r="F13" s="195">
        <f t="shared" ref="F13" si="1">F14</f>
        <v>0</v>
      </c>
      <c r="G13" s="195">
        <v>0</v>
      </c>
      <c r="H13" s="194">
        <v>31</v>
      </c>
      <c r="I13" s="194">
        <v>31</v>
      </c>
      <c r="J13" s="196">
        <f t="shared" ref="J13:L13" si="2">J14</f>
        <v>0</v>
      </c>
      <c r="K13" s="196">
        <f t="shared" si="2"/>
        <v>0</v>
      </c>
      <c r="L13" s="196">
        <f t="shared" si="2"/>
        <v>0</v>
      </c>
      <c r="M13" s="436">
        <v>207365000</v>
      </c>
      <c r="N13" s="197">
        <f>M13</f>
        <v>207365000</v>
      </c>
    </row>
    <row r="14" spans="1:19" s="181" customFormat="1" ht="41.85" customHeight="1" x14ac:dyDescent="0.25">
      <c r="A14" s="169">
        <v>1</v>
      </c>
      <c r="B14" s="170" t="s">
        <v>130</v>
      </c>
      <c r="C14" s="171">
        <f>C13</f>
        <v>160399.32999999999</v>
      </c>
      <c r="D14" s="172">
        <f>D13</f>
        <v>6750</v>
      </c>
      <c r="E14" s="437">
        <f>E13</f>
        <v>0</v>
      </c>
      <c r="F14" s="173">
        <v>0</v>
      </c>
      <c r="G14" s="437">
        <f>G13</f>
        <v>0</v>
      </c>
      <c r="H14" s="174">
        <f>H13</f>
        <v>31</v>
      </c>
      <c r="I14" s="174">
        <f>I13</f>
        <v>31</v>
      </c>
      <c r="J14" s="175">
        <v>0</v>
      </c>
      <c r="K14" s="175">
        <v>0</v>
      </c>
      <c r="L14" s="175">
        <v>0</v>
      </c>
      <c r="M14" s="176">
        <f>M13</f>
        <v>207365000</v>
      </c>
      <c r="N14" s="176">
        <f>N13</f>
        <v>207365000</v>
      </c>
    </row>
    <row r="15" spans="1:19" x14ac:dyDescent="0.25">
      <c r="A15" s="177" t="s">
        <v>97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8"/>
      <c r="L15" s="178"/>
      <c r="M15" s="178"/>
      <c r="N15" s="178"/>
    </row>
  </sheetData>
  <autoFilter ref="A8:O8"/>
  <mergeCells count="9">
    <mergeCell ref="F1:N1"/>
    <mergeCell ref="A4:N4"/>
    <mergeCell ref="A5:A7"/>
    <mergeCell ref="B5:B7"/>
    <mergeCell ref="C5:C6"/>
    <mergeCell ref="D5:D6"/>
    <mergeCell ref="E5:I5"/>
    <mergeCell ref="J5:N5"/>
    <mergeCell ref="I2:N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перечень МКД 2020-2022</vt:lpstr>
      <vt:lpstr>виды ремонта 2020-2022</vt:lpstr>
      <vt:lpstr>показатели</vt:lpstr>
      <vt:lpstr>'виды ремонта 2020-2022'!Заголовки_для_печати</vt:lpstr>
      <vt:lpstr>'перечень МКД 2020-2022'!Заголовки_для_печати</vt:lpstr>
      <vt:lpstr>показатели!Заголовки_для_печати</vt:lpstr>
      <vt:lpstr>'виды ремонта 2020-2022'!Область_печати</vt:lpstr>
      <vt:lpstr>'перечень МКД 2020-2022'!Область_печати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Иван Александрович</dc:creator>
  <cp:lastModifiedBy>User</cp:lastModifiedBy>
  <cp:lastPrinted>2022-03-11T08:17:28Z</cp:lastPrinted>
  <dcterms:created xsi:type="dcterms:W3CDTF">2014-10-15T08:46:29Z</dcterms:created>
  <dcterms:modified xsi:type="dcterms:W3CDTF">2022-03-11T08:18:41Z</dcterms:modified>
</cp:coreProperties>
</file>