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6665" windowHeight="9810" activeTab="2"/>
  </bookViews>
  <sheets>
    <sheet name="перечень МКД" sheetId="1" r:id="rId1"/>
    <sheet name="виды ремонта" sheetId="6" r:id="rId2"/>
    <sheet name="показатели" sheetId="3" r:id="rId3"/>
  </sheets>
  <externalReferences>
    <externalReference r:id="rId4"/>
  </externalReferences>
  <definedNames>
    <definedName name="_xlnm.Print_Titles" localSheetId="1">'виды ремонта'!$4:$8</definedName>
    <definedName name="_xlnm.Print_Titles" localSheetId="0">'перечень МКД'!$4:$8</definedName>
    <definedName name="_xlnm.Print_Area" localSheetId="2">показатели!$A$1:$F$13</definedName>
    <definedName name="Перечень" localSheetId="1">#REF!</definedName>
    <definedName name="Перечень">#REF!</definedName>
    <definedName name="Перечень2" localSheetId="1">#REF!</definedName>
    <definedName name="Перечень2">#REF!</definedName>
    <definedName name="Перечень3" localSheetId="1">#REF!</definedName>
    <definedName name="Перечень3">#REF!</definedName>
  </definedNames>
  <calcPr calcId="144525" calcMode="manual"/>
</workbook>
</file>

<file path=xl/calcChain.xml><?xml version="1.0" encoding="utf-8"?>
<calcChain xmlns="http://schemas.openxmlformats.org/spreadsheetml/2006/main">
  <c r="I39" i="6" l="1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S74" i="6" l="1"/>
  <c r="I74" i="6" s="1"/>
  <c r="T74" i="1"/>
  <c r="T76" i="1" l="1"/>
  <c r="T66" i="1"/>
  <c r="T73" i="1"/>
  <c r="T72" i="1"/>
  <c r="T69" i="1"/>
  <c r="T71" i="1"/>
  <c r="N76" i="1"/>
  <c r="S76" i="1" s="1"/>
  <c r="N71" i="1"/>
  <c r="S71" i="1" s="1"/>
  <c r="N72" i="1"/>
  <c r="S72" i="1" s="1"/>
  <c r="N73" i="1"/>
  <c r="S73" i="1" s="1"/>
  <c r="T67" i="1"/>
  <c r="N70" i="1"/>
  <c r="S70" i="1" s="1"/>
  <c r="T70" i="1"/>
  <c r="N66" i="1"/>
  <c r="S66" i="1" s="1"/>
  <c r="S76" i="6" l="1"/>
  <c r="I76" i="6" s="1"/>
  <c r="T75" i="1"/>
  <c r="S73" i="6"/>
  <c r="I73" i="6" s="1"/>
  <c r="T77" i="1" l="1"/>
  <c r="N77" i="1"/>
  <c r="S77" i="1" s="1"/>
  <c r="T65" i="1"/>
  <c r="N74" i="1" l="1"/>
  <c r="S74" i="1" s="1"/>
  <c r="T49" i="1" l="1"/>
  <c r="T48" i="1"/>
  <c r="N49" i="1"/>
  <c r="S49" i="1" s="1"/>
  <c r="S49" i="6"/>
  <c r="I49" i="6" s="1"/>
  <c r="N68" i="1" l="1"/>
  <c r="S68" i="1" s="1"/>
  <c r="T68" i="1"/>
  <c r="S66" i="6" l="1"/>
  <c r="I66" i="6" s="1"/>
  <c r="N67" i="1"/>
  <c r="S67" i="1" s="1"/>
  <c r="N65" i="1" l="1"/>
  <c r="S65" i="1" s="1"/>
  <c r="Q43" i="6"/>
  <c r="I43" i="6" s="1"/>
  <c r="T44" i="1" l="1"/>
  <c r="N44" i="1"/>
  <c r="S44" i="1" s="1"/>
  <c r="J44" i="1"/>
  <c r="T52" i="1"/>
  <c r="T53" i="1"/>
  <c r="T54" i="1"/>
  <c r="T56" i="1"/>
  <c r="T57" i="1"/>
  <c r="T59" i="1"/>
  <c r="T60" i="1"/>
  <c r="T61" i="1"/>
  <c r="T55" i="1"/>
  <c r="T45" i="1"/>
  <c r="T46" i="1"/>
  <c r="T43" i="1"/>
  <c r="T58" i="1"/>
  <c r="N75" i="1"/>
  <c r="S75" i="1" s="1"/>
  <c r="N50" i="1"/>
  <c r="L50" i="1"/>
  <c r="K50" i="1" s="1"/>
  <c r="J50" i="1" s="1"/>
  <c r="N48" i="1"/>
  <c r="S48" i="1" s="1"/>
  <c r="J48" i="1"/>
  <c r="T39" i="1"/>
  <c r="T47" i="1"/>
  <c r="T38" i="1"/>
  <c r="S56" i="6"/>
  <c r="I56" i="6" s="1"/>
  <c r="S50" i="1" l="1"/>
  <c r="T50" i="1"/>
  <c r="Q75" i="6" l="1"/>
  <c r="I75" i="6" s="1"/>
  <c r="S65" i="6"/>
  <c r="I65" i="6" s="1"/>
  <c r="AC78" i="6"/>
  <c r="R78" i="6"/>
  <c r="S77" i="6"/>
  <c r="I77" i="6" s="1"/>
  <c r="Q72" i="6"/>
  <c r="I72" i="6" s="1"/>
  <c r="S71" i="6"/>
  <c r="I71" i="6" s="1"/>
  <c r="S70" i="6"/>
  <c r="I70" i="6" s="1"/>
  <c r="S69" i="6"/>
  <c r="I69" i="6" s="1"/>
  <c r="S68" i="6"/>
  <c r="I68" i="6" s="1"/>
  <c r="Q67" i="6"/>
  <c r="I67" i="6" s="1"/>
  <c r="AC62" i="6"/>
  <c r="Y62" i="6"/>
  <c r="X62" i="6"/>
  <c r="V62" i="6"/>
  <c r="R62" i="6"/>
  <c r="P62" i="6"/>
  <c r="S61" i="6"/>
  <c r="I61" i="6" s="1"/>
  <c r="S60" i="6"/>
  <c r="I60" i="6" s="1"/>
  <c r="S59" i="6"/>
  <c r="I59" i="6" s="1"/>
  <c r="Q58" i="6"/>
  <c r="I58" i="6" s="1"/>
  <c r="S57" i="6"/>
  <c r="I57" i="6" s="1"/>
  <c r="Q55" i="6"/>
  <c r="I55" i="6" s="1"/>
  <c r="S54" i="6"/>
  <c r="I54" i="6" s="1"/>
  <c r="S53" i="6"/>
  <c r="I53" i="6" s="1"/>
  <c r="S52" i="6"/>
  <c r="I52" i="6" s="1"/>
  <c r="S51" i="6"/>
  <c r="I51" i="6" s="1"/>
  <c r="S50" i="6"/>
  <c r="I50" i="6" s="1"/>
  <c r="W62" i="6"/>
  <c r="S48" i="6"/>
  <c r="I48" i="6" s="1"/>
  <c r="S47" i="6"/>
  <c r="Q46" i="6"/>
  <c r="I46" i="6" s="1"/>
  <c r="Q45" i="6"/>
  <c r="I45" i="6" s="1"/>
  <c r="S44" i="6"/>
  <c r="I44" i="6" s="1"/>
  <c r="AE40" i="6"/>
  <c r="AD40" i="6"/>
  <c r="AC40" i="6"/>
  <c r="AB40" i="6"/>
  <c r="Z40" i="6"/>
  <c r="X40" i="6"/>
  <c r="V40" i="6"/>
  <c r="R40" i="6"/>
  <c r="Q40" i="6"/>
  <c r="O40" i="6"/>
  <c r="N40" i="6"/>
  <c r="M40" i="6"/>
  <c r="L40" i="6"/>
  <c r="K40" i="6"/>
  <c r="J40" i="6"/>
  <c r="T36" i="1"/>
  <c r="T35" i="1"/>
  <c r="T22" i="1"/>
  <c r="T34" i="1"/>
  <c r="T33" i="1"/>
  <c r="T32" i="1"/>
  <c r="T31" i="1"/>
  <c r="T30" i="1"/>
  <c r="T29" i="1"/>
  <c r="T28" i="1"/>
  <c r="T27" i="1"/>
  <c r="T37" i="1"/>
  <c r="T26" i="1"/>
  <c r="T25" i="1"/>
  <c r="T24" i="1"/>
  <c r="T23" i="1"/>
  <c r="T21" i="1"/>
  <c r="T20" i="1"/>
  <c r="T19" i="1"/>
  <c r="T14" i="1"/>
  <c r="T18" i="1"/>
  <c r="T17" i="1"/>
  <c r="T16" i="1"/>
  <c r="T15" i="1"/>
  <c r="T13" i="1"/>
  <c r="T12" i="1"/>
  <c r="T11" i="1"/>
  <c r="T10" i="1"/>
  <c r="Y40" i="6" l="1"/>
  <c r="W40" i="6"/>
  <c r="Q62" i="6"/>
  <c r="S62" i="6"/>
  <c r="S78" i="6"/>
  <c r="S40" i="6"/>
  <c r="I47" i="6"/>
  <c r="I78" i="6"/>
  <c r="I40" i="6" l="1"/>
  <c r="I62" i="6"/>
  <c r="N61" i="1" l="1"/>
  <c r="S61" i="1" s="1"/>
  <c r="R62" i="1" l="1"/>
  <c r="F12" i="3" l="1"/>
  <c r="E12" i="3"/>
  <c r="D12" i="3"/>
  <c r="F10" i="3"/>
  <c r="E10" i="3"/>
  <c r="D10" i="3"/>
  <c r="N69" i="1"/>
  <c r="S69" i="1" s="1"/>
  <c r="O78" i="1"/>
  <c r="P78" i="1"/>
  <c r="Q78" i="1"/>
  <c r="R78" i="1"/>
  <c r="M78" i="1"/>
  <c r="L78" i="1"/>
  <c r="K78" i="1"/>
  <c r="J78" i="1"/>
  <c r="N45" i="1"/>
  <c r="N46" i="1"/>
  <c r="S46" i="1" s="1"/>
  <c r="N47" i="1"/>
  <c r="S47" i="1" s="1"/>
  <c r="N51" i="1"/>
  <c r="N52" i="1"/>
  <c r="S52" i="1" s="1"/>
  <c r="N53" i="1"/>
  <c r="S53" i="1" s="1"/>
  <c r="N54" i="1"/>
  <c r="S54" i="1" s="1"/>
  <c r="N55" i="1"/>
  <c r="S55" i="1" s="1"/>
  <c r="N56" i="1"/>
  <c r="S56" i="1" s="1"/>
  <c r="N57" i="1"/>
  <c r="S57" i="1" s="1"/>
  <c r="N58" i="1"/>
  <c r="S58" i="1" s="1"/>
  <c r="N59" i="1"/>
  <c r="S59" i="1" s="1"/>
  <c r="N60" i="1"/>
  <c r="S60" i="1" s="1"/>
  <c r="N43" i="1"/>
  <c r="S43" i="1" s="1"/>
  <c r="Q62" i="1"/>
  <c r="P62" i="1"/>
  <c r="O62" i="1"/>
  <c r="L62" i="1"/>
  <c r="K51" i="1"/>
  <c r="T51" i="1" s="1"/>
  <c r="F8" i="3"/>
  <c r="E8" i="3"/>
  <c r="D8" i="3"/>
  <c r="C12" i="3"/>
  <c r="C10" i="3"/>
  <c r="C8" i="3"/>
  <c r="Q40" i="1"/>
  <c r="P40" i="1"/>
  <c r="O40" i="1"/>
  <c r="S39" i="1"/>
  <c r="S37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R40" i="1"/>
  <c r="S36" i="1"/>
  <c r="S38" i="1"/>
  <c r="J51" i="1" l="1"/>
  <c r="J62" i="1" s="1"/>
  <c r="S51" i="1"/>
  <c r="K62" i="1"/>
  <c r="N78" i="1"/>
  <c r="S45" i="1"/>
  <c r="N62" i="1"/>
  <c r="N40" i="1"/>
  <c r="M40" i="1" l="1"/>
  <c r="L33" i="1"/>
  <c r="L13" i="1"/>
  <c r="K40" i="1"/>
  <c r="J31" i="1"/>
  <c r="J15" i="1"/>
  <c r="L40" i="1" l="1"/>
  <c r="J40" i="1"/>
  <c r="U40" i="6"/>
</calcChain>
</file>

<file path=xl/sharedStrings.xml><?xml version="1.0" encoding="utf-8"?>
<sst xmlns="http://schemas.openxmlformats.org/spreadsheetml/2006/main" count="744" uniqueCount="129">
  <si>
    <t>Х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</si>
  <si>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</si>
  <si>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</si>
  <si>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</si>
  <si>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</si>
  <si>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</si>
  <si>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</si>
  <si>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</si>
  <si>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</si>
  <si>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</si>
  <si>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</si>
  <si>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</si>
  <si>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</si>
  <si>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</si>
  <si>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</si>
  <si>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</si>
  <si>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</si>
  <si>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</si>
  <si>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</si>
  <si>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</si>
  <si>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</si>
  <si>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</si>
  <si>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</si>
  <si>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</si>
  <si>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</si>
  <si>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</si>
  <si>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</si>
  <si>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</si>
  <si>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</si>
  <si>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</si>
  <si>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</si>
  <si>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</si>
  <si>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</si>
  <si>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</si>
  <si>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</si>
  <si>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</si>
  <si>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</si>
  <si>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</si>
  <si>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</si>
  <si>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</si>
  <si>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</si>
  <si>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</si>
  <si>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</si>
  <si>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</si>
  <si>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</si>
  <si>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</si>
  <si>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</si>
  <si>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</si>
  <si>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</si>
  <si>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</si>
  <si>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</si>
  <si>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</si>
  <si>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</si>
  <si>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</si>
  <si>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</si>
  <si>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</si>
  <si>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</si>
  <si>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</si>
  <si>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город</t>
  </si>
  <si>
    <t>Обнинск</t>
  </si>
  <si>
    <t>Аксенова</t>
  </si>
  <si>
    <t xml:space="preserve">Гагарина  </t>
  </si>
  <si>
    <t>Гурьянова</t>
  </si>
  <si>
    <t>Заводская</t>
  </si>
  <si>
    <t xml:space="preserve">Звездная  </t>
  </si>
  <si>
    <t>Комарова</t>
  </si>
  <si>
    <t>Комсомольская</t>
  </si>
  <si>
    <t xml:space="preserve">Королева  </t>
  </si>
  <si>
    <t>Курчатова</t>
  </si>
  <si>
    <t>Ленина</t>
  </si>
  <si>
    <t xml:space="preserve">Маркса  </t>
  </si>
  <si>
    <t>Мира</t>
  </si>
  <si>
    <t>Победы</t>
  </si>
  <si>
    <t>Пушкина</t>
  </si>
  <si>
    <t xml:space="preserve">Энгельса </t>
  </si>
  <si>
    <t xml:space="preserve">улица </t>
  </si>
  <si>
    <t>проспект</t>
  </si>
  <si>
    <t>улица</t>
  </si>
  <si>
    <t>2/4</t>
  </si>
  <si>
    <t>13/1</t>
  </si>
  <si>
    <t>27/2</t>
  </si>
  <si>
    <t>32/13</t>
  </si>
  <si>
    <t>2/5</t>
  </si>
  <si>
    <t>9/20</t>
  </si>
  <si>
    <t>А</t>
  </si>
  <si>
    <t>Приложение № 1 к Постановлению Администрации города Обнинска</t>
  </si>
  <si>
    <t>Приложение № 2 к Постановлению Администрации г.Обнинска</t>
  </si>
  <si>
    <t>12.2023</t>
  </si>
  <si>
    <t>2023 год</t>
  </si>
  <si>
    <t>2024 год</t>
  </si>
  <si>
    <t>2025 год</t>
  </si>
  <si>
    <t>Приложение № 3 к постановлению Администрации г.Обнинска</t>
  </si>
  <si>
    <t xml:space="preserve"> МО "Город Обнинск"</t>
  </si>
  <si>
    <t>Белкинская</t>
  </si>
  <si>
    <t>Гагарина</t>
  </si>
  <si>
    <t>19/9</t>
  </si>
  <si>
    <t>22/8</t>
  </si>
  <si>
    <t>Маркса</t>
  </si>
  <si>
    <t>площадь</t>
  </si>
  <si>
    <t>Треугольная</t>
  </si>
  <si>
    <t>Энгельса</t>
  </si>
  <si>
    <t>12.2024</t>
  </si>
  <si>
    <t xml:space="preserve">Курчатова </t>
  </si>
  <si>
    <t>12.2025</t>
  </si>
  <si>
    <t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на 2023-2025</t>
  </si>
  <si>
    <t>Итого по первому году реализации краткосрочного плана на 2023-2025</t>
  </si>
  <si>
    <t>Итого по второму году реализации краткосрочного плана на 2023-2025</t>
  </si>
  <si>
    <t>Итого по третьему году реализации краткосрочного плана на 2023-2025</t>
  </si>
  <si>
    <t>Перечень  многоквартирных домов, которые подлежат капитальному ремонту в 2023-2025 гг.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</si>
  <si>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в 2023-2025гг. </t>
  </si>
  <si>
    <t>Блохинцева</t>
  </si>
  <si>
    <t>Гоголя</t>
  </si>
  <si>
    <t>17/2</t>
  </si>
  <si>
    <t>92</t>
  </si>
  <si>
    <t>Калужская</t>
  </si>
  <si>
    <t>21</t>
  </si>
  <si>
    <t>3/5</t>
  </si>
  <si>
    <t>18</t>
  </si>
  <si>
    <t>42</t>
  </si>
  <si>
    <t>Лермонтова</t>
  </si>
  <si>
    <t>3</t>
  </si>
  <si>
    <t>Мигунова</t>
  </si>
  <si>
    <t>8</t>
  </si>
  <si>
    <t>46</t>
  </si>
  <si>
    <t>110</t>
  </si>
  <si>
    <t>34</t>
  </si>
  <si>
    <t>60</t>
  </si>
  <si>
    <t>23</t>
  </si>
  <si>
    <t>от 31.03.2023 №714-п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</si>
</sst>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Calibri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6" fillId="0" borderId="0"/>
  </cellStyleXfs>
  <cellXfs count="245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4" fillId="0" borderId="4" xfId="8" applyNumberFormat="1" applyFont="1" applyFill="1" applyBorder="1" applyAlignment="1">
      <alignment horizontal="right" vertical="center"/>
    </xf>
    <xf numFmtId="4" fontId="14" fillId="0" borderId="1" xfId="8" applyNumberFormat="1" applyFont="1" applyFill="1" applyBorder="1" applyAlignment="1">
      <alignment horizontal="right" vertical="center"/>
    </xf>
    <xf numFmtId="4" fontId="14" fillId="2" borderId="1" xfId="8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2" borderId="4" xfId="8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14" fillId="0" borderId="1" xfId="8" applyFont="1" applyFill="1" applyBorder="1" applyAlignment="1">
      <alignment horizontal="left" vertical="center"/>
    </xf>
    <xf numFmtId="0" fontId="14" fillId="2" borderId="1" xfId="8" applyFont="1" applyFill="1" applyBorder="1" applyAlignment="1">
      <alignment horizontal="left" vertical="center"/>
    </xf>
    <xf numFmtId="0" fontId="24" fillId="0" borderId="1" xfId="9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/>
    <xf numFmtId="0" fontId="14" fillId="0" borderId="1" xfId="8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wrapText="1"/>
    </xf>
    <xf numFmtId="0" fontId="24" fillId="2" borderId="1" xfId="9" applyFont="1" applyFill="1" applyBorder="1" applyAlignment="1">
      <alignment horizontal="left" vertical="center" wrapText="1"/>
    </xf>
    <xf numFmtId="0" fontId="14" fillId="0" borderId="1" xfId="9" applyFont="1" applyFill="1" applyBorder="1" applyAlignment="1">
      <alignment horizontal="left" vertical="center" wrapText="1"/>
    </xf>
    <xf numFmtId="0" fontId="14" fillId="2" borderId="1" xfId="9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4" fillId="0" borderId="4" xfId="8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" fontId="14" fillId="0" borderId="4" xfId="8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49" fontId="14" fillId="0" borderId="1" xfId="8" applyNumberFormat="1" applyFont="1" applyFill="1" applyBorder="1" applyAlignment="1">
      <alignment horizontal="left" vertical="center"/>
    </xf>
    <xf numFmtId="4" fontId="14" fillId="0" borderId="1" xfId="8" applyNumberFormat="1" applyFont="1" applyFill="1" applyBorder="1" applyAlignment="1">
      <alignment horizontal="left" vertical="center"/>
    </xf>
    <xf numFmtId="0" fontId="14" fillId="2" borderId="1" xfId="8" applyNumberFormat="1" applyFont="1" applyFill="1" applyBorder="1" applyAlignment="1">
      <alignment horizontal="left" vertical="center"/>
    </xf>
    <xf numFmtId="4" fontId="14" fillId="2" borderId="1" xfId="8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49" fontId="14" fillId="2" borderId="1" xfId="8" applyNumberFormat="1" applyFont="1" applyFill="1" applyBorder="1" applyAlignment="1">
      <alignment horizontal="left" vertical="center"/>
    </xf>
    <xf numFmtId="0" fontId="14" fillId="0" borderId="1" xfId="8" applyNumberFormat="1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right" vertical="center"/>
    </xf>
    <xf numFmtId="4" fontId="24" fillId="0" borderId="1" xfId="1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4" fontId="24" fillId="0" borderId="1" xfId="10" applyNumberFormat="1" applyFont="1" applyBorder="1" applyAlignment="1">
      <alignment horizontal="right"/>
    </xf>
    <xf numFmtId="4" fontId="24" fillId="2" borderId="1" xfId="10" applyNumberFormat="1" applyFont="1" applyFill="1" applyBorder="1" applyAlignment="1">
      <alignment horizontal="right"/>
    </xf>
    <xf numFmtId="4" fontId="24" fillId="2" borderId="1" xfId="10" applyNumberFormat="1" applyFont="1" applyFill="1" applyBorder="1" applyAlignment="1">
      <alignment horizontal="right" vertical="center"/>
    </xf>
    <xf numFmtId="4" fontId="24" fillId="0" borderId="1" xfId="10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vertical="center"/>
    </xf>
    <xf numFmtId="49" fontId="14" fillId="0" borderId="7" xfId="9" applyNumberFormat="1" applyFont="1" applyFill="1" applyBorder="1" applyAlignment="1">
      <alignment horizontal="left" vertical="center" wrapText="1"/>
    </xf>
    <xf numFmtId="0" fontId="14" fillId="0" borderId="1" xfId="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3" fontId="24" fillId="0" borderId="1" xfId="10" applyNumberFormat="1" applyFont="1" applyFill="1" applyBorder="1" applyAlignment="1">
      <alignment horizontal="center" vertical="center"/>
    </xf>
    <xf numFmtId="3" fontId="24" fillId="0" borderId="1" xfId="10" applyNumberFormat="1" applyFont="1" applyBorder="1" applyAlignment="1">
      <alignment horizontal="center"/>
    </xf>
    <xf numFmtId="3" fontId="24" fillId="2" borderId="1" xfId="10" applyNumberFormat="1" applyFont="1" applyFill="1" applyBorder="1" applyAlignment="1">
      <alignment horizontal="center"/>
    </xf>
    <xf numFmtId="3" fontId="24" fillId="0" borderId="1" xfId="1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4" xfId="8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4" fontId="14" fillId="0" borderId="1" xfId="10" applyNumberFormat="1" applyFont="1" applyFill="1" applyBorder="1" applyAlignment="1">
      <alignment horizontal="right" vertical="center"/>
    </xf>
    <xf numFmtId="4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14" fillId="0" borderId="1" xfId="8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center" vertical="center"/>
    </xf>
    <xf numFmtId="3" fontId="14" fillId="0" borderId="1" xfId="8" applyNumberFormat="1" applyFont="1" applyFill="1" applyBorder="1" applyAlignment="1">
      <alignment horizontal="center" vertical="center"/>
    </xf>
    <xf numFmtId="3" fontId="14" fillId="0" borderId="1" xfId="8" applyNumberFormat="1" applyFont="1" applyFill="1" applyBorder="1" applyAlignment="1">
      <alignment horizontal="right" vertical="center"/>
    </xf>
    <xf numFmtId="3" fontId="18" fillId="0" borderId="1" xfId="0" applyNumberFormat="1" applyFont="1" applyBorder="1" applyAlignment="1">
      <alignment horizontal="center" vertical="center"/>
    </xf>
    <xf numFmtId="4" fontId="14" fillId="0" borderId="3" xfId="8" applyNumberFormat="1" applyFont="1" applyFill="1" applyBorder="1" applyAlignment="1">
      <alignment horizontal="right" vertical="center"/>
    </xf>
    <xf numFmtId="2" fontId="18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horizontal="left"/>
    </xf>
    <xf numFmtId="3" fontId="28" fillId="2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8" fillId="2" borderId="4" xfId="9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horizontal="right"/>
    </xf>
    <xf numFmtId="3" fontId="29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4" fontId="18" fillId="0" borderId="7" xfId="0" applyNumberFormat="1" applyFont="1" applyBorder="1" applyAlignment="1">
      <alignment vertical="center" wrapText="1"/>
    </xf>
    <xf numFmtId="164" fontId="14" fillId="0" borderId="4" xfId="8" applyNumberFormat="1" applyFont="1" applyFill="1" applyBorder="1" applyAlignment="1">
      <alignment horizontal="right" vertical="center"/>
    </xf>
    <xf numFmtId="164" fontId="14" fillId="0" borderId="1" xfId="8" applyNumberFormat="1" applyFont="1" applyFill="1" applyBorder="1" applyAlignment="1">
      <alignment horizontal="right" vertical="center"/>
    </xf>
    <xf numFmtId="164" fontId="14" fillId="2" borderId="1" xfId="8" applyNumberFormat="1" applyFont="1" applyFill="1" applyBorder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left" vertical="center"/>
    </xf>
    <xf numFmtId="0" fontId="14" fillId="2" borderId="6" xfId="8" applyNumberFormat="1" applyFont="1" applyFill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14" fillId="2" borderId="6" xfId="0" applyFont="1" applyFill="1" applyBorder="1" applyAlignment="1">
      <alignment horizontal="left" vertical="center"/>
    </xf>
    <xf numFmtId="4" fontId="14" fillId="2" borderId="6" xfId="0" applyNumberFormat="1" applyFont="1" applyFill="1" applyBorder="1" applyAlignment="1">
      <alignment horizontal="right" vertical="center"/>
    </xf>
    <xf numFmtId="3" fontId="14" fillId="2" borderId="6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right" vertical="center"/>
    </xf>
    <xf numFmtId="2" fontId="15" fillId="0" borderId="6" xfId="0" applyNumberFormat="1" applyFont="1" applyFill="1" applyBorder="1" applyAlignment="1">
      <alignment horizontal="right" vertical="center"/>
    </xf>
    <xf numFmtId="49" fontId="14" fillId="0" borderId="6" xfId="0" applyNumberFormat="1" applyFont="1" applyFill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right" vertical="center"/>
    </xf>
    <xf numFmtId="4" fontId="30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14" fillId="0" borderId="1" xfId="9" applyNumberFormat="1" applyFont="1" applyFill="1" applyBorder="1" applyAlignment="1">
      <alignment horizontal="left" vertical="center" wrapText="1"/>
    </xf>
    <xf numFmtId="3" fontId="14" fillId="0" borderId="1" xfId="10" applyNumberFormat="1" applyFont="1" applyFill="1" applyBorder="1" applyAlignment="1">
      <alignment horizontal="center" vertical="center"/>
    </xf>
    <xf numFmtId="49" fontId="14" fillId="0" borderId="1" xfId="10" applyNumberFormat="1" applyFont="1" applyFill="1" applyBorder="1" applyAlignment="1">
      <alignment horizontal="center" vertical="center"/>
    </xf>
    <xf numFmtId="2" fontId="14" fillId="0" borderId="1" xfId="10" applyNumberFormat="1" applyFont="1" applyFill="1" applyBorder="1" applyAlignment="1">
      <alignment horizontal="right" vertical="center"/>
    </xf>
    <xf numFmtId="4" fontId="31" fillId="0" borderId="7" xfId="0" applyNumberFormat="1" applyFont="1" applyBorder="1" applyAlignment="1">
      <alignment vertical="center" wrapText="1"/>
    </xf>
    <xf numFmtId="2" fontId="21" fillId="0" borderId="1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3" fontId="32" fillId="0" borderId="1" xfId="10" applyNumberFormat="1" applyFont="1" applyFill="1" applyBorder="1" applyAlignment="1">
      <alignment horizontal="center"/>
    </xf>
    <xf numFmtId="4" fontId="33" fillId="0" borderId="4" xfId="0" applyNumberFormat="1" applyFont="1" applyFill="1" applyBorder="1" applyAlignment="1">
      <alignment horizontal="right" vertical="center"/>
    </xf>
    <xf numFmtId="4" fontId="14" fillId="2" borderId="4" xfId="0" applyNumberFormat="1" applyFont="1" applyFill="1" applyBorder="1" applyAlignment="1">
      <alignment horizontal="right" vertical="center"/>
    </xf>
    <xf numFmtId="4" fontId="33" fillId="2" borderId="4" xfId="0" applyNumberFormat="1" applyFont="1" applyFill="1" applyBorder="1" applyAlignment="1">
      <alignment horizontal="right" vertical="center"/>
    </xf>
    <xf numFmtId="2" fontId="24" fillId="0" borderId="1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165" fontId="32" fillId="0" borderId="1" xfId="0" applyNumberFormat="1" applyFont="1" applyFill="1" applyBorder="1" applyAlignment="1">
      <alignment horizontal="right" vertical="center"/>
    </xf>
    <xf numFmtId="4" fontId="32" fillId="0" borderId="1" xfId="10" applyNumberFormat="1" applyFont="1" applyFill="1" applyBorder="1" applyAlignment="1">
      <alignment horizontal="right" vertical="center"/>
    </xf>
    <xf numFmtId="4" fontId="28" fillId="0" borderId="4" xfId="0" applyNumberFormat="1" applyFont="1" applyFill="1" applyBorder="1" applyAlignment="1">
      <alignment horizontal="center" vertical="center"/>
    </xf>
    <xf numFmtId="2" fontId="33" fillId="2" borderId="1" xfId="0" applyNumberFormat="1" applyFont="1" applyFill="1" applyBorder="1" applyAlignment="1">
      <alignment horizontal="right" vertical="center"/>
    </xf>
    <xf numFmtId="4" fontId="28" fillId="0" borderId="4" xfId="10" applyNumberFormat="1" applyFont="1" applyFill="1" applyBorder="1" applyAlignment="1">
      <alignment horizontal="center" vertical="center"/>
    </xf>
    <xf numFmtId="0" fontId="0" fillId="0" borderId="0" xfId="0" applyFont="1"/>
    <xf numFmtId="0" fontId="17" fillId="0" borderId="0" xfId="0" applyFont="1" applyAlignment="1">
      <alignment horizontal="right" vertical="top" wrapText="1"/>
    </xf>
    <xf numFmtId="0" fontId="25" fillId="0" borderId="8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5" xfId="0" applyFont="1" applyFill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textRotation="90" wrapText="1"/>
    </xf>
    <xf numFmtId="0" fontId="17" fillId="0" borderId="5" xfId="0" applyFont="1" applyFill="1" applyBorder="1" applyAlignment="1">
      <alignment horizontal="left" vertical="center" textRotation="90" wrapText="1"/>
    </xf>
    <xf numFmtId="0" fontId="17" fillId="0" borderId="4" xfId="0" applyFont="1" applyFill="1" applyBorder="1" applyAlignment="1">
      <alignment horizontal="left" vertical="center" textRotation="90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textRotation="90" wrapText="1"/>
    </xf>
    <xf numFmtId="49" fontId="17" fillId="0" borderId="5" xfId="0" applyNumberFormat="1" applyFont="1" applyFill="1" applyBorder="1" applyAlignment="1">
      <alignment horizontal="center" vertical="center" textRotation="90" wrapText="1"/>
    </xf>
    <xf numFmtId="49" fontId="17" fillId="0" borderId="4" xfId="0" applyNumberFormat="1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9" fillId="4" borderId="3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1">
    <cellStyle name="Excel Built-in Normal 2" xfId="10"/>
    <cellStyle name="Обычный" xfId="0" builtinId="0"/>
    <cellStyle name="Обычный 2" xfId="1"/>
    <cellStyle name="Обычный 2 2" xfId="2"/>
    <cellStyle name="Обычный 2 3" xfId="9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1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1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79"/>
  <sheetViews>
    <sheetView view="pageBreakPreview" zoomScale="150" zoomScaleNormal="100" zoomScaleSheetLayoutView="150" workbookViewId="0">
      <selection activeCell="Q2" sqref="Q2:U2"/>
    </sheetView>
  </sheetViews>
  <sheetFormatPr defaultRowHeight="15" x14ac:dyDescent="0.25"/>
  <cols>
    <col min="1" max="1" width="3.28515625" customWidth="1"/>
    <col min="2" max="2" width="5.85546875" customWidth="1"/>
    <col min="3" max="3" width="7.85546875" customWidth="1"/>
    <col min="4" max="4" width="7.5703125" customWidth="1"/>
    <col min="5" max="5" width="12.85546875" customWidth="1"/>
    <col min="6" max="6" width="4.140625" customWidth="1"/>
    <col min="7" max="7" width="2.7109375" customWidth="1"/>
    <col min="8" max="8" width="3.140625" customWidth="1"/>
    <col min="9" max="9" width="4.5703125" customWidth="1"/>
    <col min="10" max="10" width="9.85546875" customWidth="1"/>
    <col min="11" max="11" width="9.7109375" customWidth="1"/>
    <col min="12" max="12" width="9.5703125" customWidth="1"/>
    <col min="13" max="13" width="7.140625" customWidth="1"/>
    <col min="14" max="14" width="10.85546875" customWidth="1"/>
    <col min="15" max="15" width="6.28515625" customWidth="1"/>
    <col min="16" max="16" width="5.140625" customWidth="1"/>
    <col min="17" max="17" width="4.28515625" customWidth="1"/>
    <col min="18" max="18" width="11.42578125" customWidth="1"/>
    <col min="19" max="19" width="7.28515625" style="12" customWidth="1"/>
    <col min="20" max="20" width="7.28515625" customWidth="1"/>
    <col min="21" max="21" width="6.7109375" customWidth="1"/>
  </cols>
  <sheetData>
    <row r="1" spans="1:21" ht="21.75" customHeight="1" x14ac:dyDescent="0.25">
      <c r="Q1" s="196" t="s">
        <v>85</v>
      </c>
      <c r="R1" s="196"/>
      <c r="S1" s="196"/>
      <c r="T1" s="196"/>
      <c r="U1" s="196"/>
    </row>
    <row r="2" spans="1:21" ht="12.75" customHeight="1" x14ac:dyDescent="0.25">
      <c r="K2" s="19"/>
      <c r="L2" s="20"/>
      <c r="M2" s="20"/>
      <c r="N2" s="20"/>
      <c r="O2" s="20"/>
      <c r="P2" s="20"/>
      <c r="Q2" s="243" t="s">
        <v>128</v>
      </c>
      <c r="R2" s="243"/>
      <c r="S2" s="243"/>
      <c r="T2" s="243"/>
      <c r="U2" s="243"/>
    </row>
    <row r="3" spans="1:21" ht="14.25" customHeight="1" x14ac:dyDescent="0.25">
      <c r="A3" s="197" t="s">
        <v>108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ht="24" customHeight="1" x14ac:dyDescent="0.25">
      <c r="A4" s="198" t="s">
        <v>17</v>
      </c>
      <c r="B4" s="217" t="s">
        <v>35</v>
      </c>
      <c r="C4" s="217"/>
      <c r="D4" s="217"/>
      <c r="E4" s="217"/>
      <c r="F4" s="217"/>
      <c r="G4" s="217"/>
      <c r="H4" s="217"/>
      <c r="I4" s="201" t="s">
        <v>54</v>
      </c>
      <c r="J4" s="201" t="s">
        <v>16</v>
      </c>
      <c r="K4" s="204" t="s">
        <v>15</v>
      </c>
      <c r="L4" s="205"/>
      <c r="M4" s="201" t="s">
        <v>14</v>
      </c>
      <c r="N4" s="204" t="s">
        <v>13</v>
      </c>
      <c r="O4" s="209"/>
      <c r="P4" s="209"/>
      <c r="Q4" s="209"/>
      <c r="R4" s="205"/>
      <c r="S4" s="206" t="s">
        <v>12</v>
      </c>
      <c r="T4" s="201" t="s">
        <v>11</v>
      </c>
      <c r="U4" s="201" t="s">
        <v>10</v>
      </c>
    </row>
    <row r="5" spans="1:21" ht="15" customHeight="1" x14ac:dyDescent="0.25">
      <c r="A5" s="199"/>
      <c r="B5" s="210" t="s">
        <v>23</v>
      </c>
      <c r="C5" s="218" t="s">
        <v>34</v>
      </c>
      <c r="D5" s="201" t="s">
        <v>33</v>
      </c>
      <c r="E5" s="201" t="s">
        <v>24</v>
      </c>
      <c r="F5" s="201" t="s">
        <v>25</v>
      </c>
      <c r="G5" s="201" t="s">
        <v>26</v>
      </c>
      <c r="H5" s="201" t="s">
        <v>27</v>
      </c>
      <c r="I5" s="202"/>
      <c r="J5" s="202"/>
      <c r="K5" s="201" t="s">
        <v>8</v>
      </c>
      <c r="L5" s="201" t="s">
        <v>9</v>
      </c>
      <c r="M5" s="202"/>
      <c r="N5" s="201" t="s">
        <v>8</v>
      </c>
      <c r="O5" s="204" t="s">
        <v>7</v>
      </c>
      <c r="P5" s="209"/>
      <c r="Q5" s="209"/>
      <c r="R5" s="205"/>
      <c r="S5" s="207"/>
      <c r="T5" s="202"/>
      <c r="U5" s="202"/>
    </row>
    <row r="6" spans="1:21" ht="77.25" customHeight="1" x14ac:dyDescent="0.25">
      <c r="A6" s="199"/>
      <c r="B6" s="211"/>
      <c r="C6" s="219"/>
      <c r="D6" s="202"/>
      <c r="E6" s="202"/>
      <c r="F6" s="202"/>
      <c r="G6" s="202"/>
      <c r="H6" s="202"/>
      <c r="I6" s="202"/>
      <c r="J6" s="203"/>
      <c r="K6" s="203"/>
      <c r="L6" s="203"/>
      <c r="M6" s="203"/>
      <c r="N6" s="203"/>
      <c r="O6" s="53" t="s">
        <v>40</v>
      </c>
      <c r="P6" s="53" t="s">
        <v>6</v>
      </c>
      <c r="Q6" s="53" t="s">
        <v>5</v>
      </c>
      <c r="R6" s="53" t="s">
        <v>4</v>
      </c>
      <c r="S6" s="208"/>
      <c r="T6" s="203"/>
      <c r="U6" s="202"/>
    </row>
    <row r="7" spans="1:21" ht="12" customHeight="1" x14ac:dyDescent="0.25">
      <c r="A7" s="200"/>
      <c r="B7" s="212"/>
      <c r="C7" s="220"/>
      <c r="D7" s="203"/>
      <c r="E7" s="203"/>
      <c r="F7" s="203"/>
      <c r="G7" s="203"/>
      <c r="H7" s="203"/>
      <c r="I7" s="203"/>
      <c r="J7" s="54" t="s">
        <v>3</v>
      </c>
      <c r="K7" s="54" t="s">
        <v>3</v>
      </c>
      <c r="L7" s="54" t="s">
        <v>3</v>
      </c>
      <c r="M7" s="54" t="s">
        <v>2</v>
      </c>
      <c r="N7" s="54" t="s">
        <v>53</v>
      </c>
      <c r="O7" s="54" t="s">
        <v>53</v>
      </c>
      <c r="P7" s="54" t="s">
        <v>53</v>
      </c>
      <c r="Q7" s="54" t="s">
        <v>53</v>
      </c>
      <c r="R7" s="54" t="s">
        <v>53</v>
      </c>
      <c r="S7" s="55" t="s">
        <v>1</v>
      </c>
      <c r="T7" s="54" t="s">
        <v>1</v>
      </c>
      <c r="U7" s="203"/>
    </row>
    <row r="8" spans="1:21" ht="12.75" customHeight="1" x14ac:dyDescent="0.25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7">
        <v>19</v>
      </c>
      <c r="T8" s="56">
        <v>20</v>
      </c>
      <c r="U8" s="56">
        <v>21</v>
      </c>
    </row>
    <row r="9" spans="1:21" ht="11.25" customHeight="1" x14ac:dyDescent="0.25">
      <c r="A9" s="213" t="s">
        <v>88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5"/>
    </row>
    <row r="10" spans="1:21" ht="12" customHeight="1" x14ac:dyDescent="0.25">
      <c r="A10" s="36">
        <v>1</v>
      </c>
      <c r="B10" s="36" t="s">
        <v>58</v>
      </c>
      <c r="C10" s="36" t="s">
        <v>59</v>
      </c>
      <c r="D10" s="37" t="s">
        <v>75</v>
      </c>
      <c r="E10" s="38" t="s">
        <v>60</v>
      </c>
      <c r="F10" s="74">
        <v>6</v>
      </c>
      <c r="G10" s="36"/>
      <c r="H10" s="39"/>
      <c r="I10" s="37">
        <v>1989</v>
      </c>
      <c r="J10" s="87">
        <v>4470.3</v>
      </c>
      <c r="K10" s="87">
        <v>4470.3</v>
      </c>
      <c r="L10" s="87">
        <v>4470.3</v>
      </c>
      <c r="M10" s="111">
        <v>207</v>
      </c>
      <c r="N10" s="88">
        <v>15617517.310000001</v>
      </c>
      <c r="O10" s="89">
        <v>0</v>
      </c>
      <c r="P10" s="89">
        <v>0</v>
      </c>
      <c r="Q10" s="89">
        <v>0</v>
      </c>
      <c r="R10" s="87">
        <v>15617517.310000001</v>
      </c>
      <c r="S10" s="88">
        <f>N10/K10</f>
        <v>3493.6172762454421</v>
      </c>
      <c r="T10" s="88">
        <f>1455.99021058*12932/K10</f>
        <v>4211.9914554326469</v>
      </c>
      <c r="U10" s="30" t="s">
        <v>87</v>
      </c>
    </row>
    <row r="11" spans="1:21" ht="12" customHeight="1" x14ac:dyDescent="0.25">
      <c r="A11" s="36">
        <v>2</v>
      </c>
      <c r="B11" s="36" t="s">
        <v>58</v>
      </c>
      <c r="C11" s="36" t="s">
        <v>59</v>
      </c>
      <c r="D11" s="40" t="s">
        <v>75</v>
      </c>
      <c r="E11" s="41" t="s">
        <v>60</v>
      </c>
      <c r="F11" s="85">
        <v>18</v>
      </c>
      <c r="G11" s="36"/>
      <c r="H11" s="39"/>
      <c r="I11" s="42">
        <v>1992</v>
      </c>
      <c r="J11" s="90">
        <v>6769.45</v>
      </c>
      <c r="K11" s="90">
        <v>6769.45</v>
      </c>
      <c r="L11" s="90">
        <v>5511.5</v>
      </c>
      <c r="M11" s="112">
        <v>252</v>
      </c>
      <c r="N11" s="88">
        <v>8472032.3900000006</v>
      </c>
      <c r="O11" s="89">
        <v>0</v>
      </c>
      <c r="P11" s="89">
        <v>0</v>
      </c>
      <c r="Q11" s="89">
        <v>0</v>
      </c>
      <c r="R11" s="91">
        <v>8472032.3900000006</v>
      </c>
      <c r="S11" s="88">
        <f t="shared" ref="S11:S39" si="0">N11/K11</f>
        <v>1251.5097075833341</v>
      </c>
      <c r="T11" s="88">
        <f>785.555606146*12932/K11</f>
        <v>1500.6839696991738</v>
      </c>
      <c r="U11" s="31" t="s">
        <v>87</v>
      </c>
    </row>
    <row r="12" spans="1:21" ht="14.25" customHeight="1" x14ac:dyDescent="0.25">
      <c r="A12" s="36">
        <v>3</v>
      </c>
      <c r="B12" s="36" t="s">
        <v>58</v>
      </c>
      <c r="C12" s="36" t="s">
        <v>59</v>
      </c>
      <c r="D12" s="40" t="s">
        <v>75</v>
      </c>
      <c r="E12" s="41" t="s">
        <v>61</v>
      </c>
      <c r="F12" s="85">
        <v>46</v>
      </c>
      <c r="G12" s="36"/>
      <c r="H12" s="39"/>
      <c r="I12" s="43">
        <v>1994</v>
      </c>
      <c r="J12" s="92">
        <v>6577.8</v>
      </c>
      <c r="K12" s="93">
        <v>5726.4</v>
      </c>
      <c r="L12" s="92">
        <v>5726.4</v>
      </c>
      <c r="M12" s="103">
        <v>280</v>
      </c>
      <c r="N12" s="88">
        <v>11540393.41</v>
      </c>
      <c r="O12" s="89">
        <v>0</v>
      </c>
      <c r="P12" s="89">
        <v>0</v>
      </c>
      <c r="Q12" s="89">
        <v>0</v>
      </c>
      <c r="R12" s="91">
        <v>11540393.41</v>
      </c>
      <c r="S12" s="88">
        <f>N12/K12</f>
        <v>2015.2964183431127</v>
      </c>
      <c r="T12" s="88">
        <f>1082.12327831*12932/K12</f>
        <v>2443.772393668783</v>
      </c>
      <c r="U12" s="31" t="s">
        <v>87</v>
      </c>
    </row>
    <row r="13" spans="1:21" ht="12.75" customHeight="1" x14ac:dyDescent="0.25">
      <c r="A13" s="36">
        <v>4</v>
      </c>
      <c r="B13" s="36" t="s">
        <v>58</v>
      </c>
      <c r="C13" s="36" t="s">
        <v>59</v>
      </c>
      <c r="D13" s="44" t="s">
        <v>75</v>
      </c>
      <c r="E13" s="45" t="s">
        <v>61</v>
      </c>
      <c r="F13" s="40">
        <v>61</v>
      </c>
      <c r="G13" s="36"/>
      <c r="H13" s="39"/>
      <c r="I13" s="34">
        <v>1986</v>
      </c>
      <c r="J13" s="92">
        <v>3389</v>
      </c>
      <c r="K13" s="92">
        <v>2920.6</v>
      </c>
      <c r="L13" s="92">
        <f>K13-0</f>
        <v>2920.6</v>
      </c>
      <c r="M13" s="103">
        <v>122</v>
      </c>
      <c r="N13" s="88">
        <v>9544180.4299999997</v>
      </c>
      <c r="O13" s="89">
        <v>0</v>
      </c>
      <c r="P13" s="89">
        <v>0</v>
      </c>
      <c r="Q13" s="89">
        <v>0</v>
      </c>
      <c r="R13" s="93">
        <v>9544180.4299999997</v>
      </c>
      <c r="S13" s="88">
        <f t="shared" si="0"/>
        <v>3267.8834588783125</v>
      </c>
      <c r="T13" s="88">
        <f>895.307683551*12932/K13</f>
        <v>3964.2946530444196</v>
      </c>
      <c r="U13" s="31" t="s">
        <v>87</v>
      </c>
    </row>
    <row r="14" spans="1:21" ht="12.75" customHeight="1" x14ac:dyDescent="0.25">
      <c r="A14" s="36">
        <v>5</v>
      </c>
      <c r="B14" s="36" t="s">
        <v>58</v>
      </c>
      <c r="C14" s="36" t="s">
        <v>59</v>
      </c>
      <c r="D14" s="44" t="s">
        <v>75</v>
      </c>
      <c r="E14" s="45" t="s">
        <v>62</v>
      </c>
      <c r="F14" s="41">
        <v>1</v>
      </c>
      <c r="G14" s="36"/>
      <c r="H14" s="39"/>
      <c r="I14" s="43">
        <v>1965</v>
      </c>
      <c r="J14" s="94">
        <v>3782.7</v>
      </c>
      <c r="K14" s="95">
        <v>3486.4</v>
      </c>
      <c r="L14" s="94">
        <v>3393.1</v>
      </c>
      <c r="M14" s="103">
        <v>192</v>
      </c>
      <c r="N14" s="88">
        <v>599373.6</v>
      </c>
      <c r="O14" s="89">
        <v>0</v>
      </c>
      <c r="P14" s="89">
        <v>0</v>
      </c>
      <c r="Q14" s="89">
        <v>0</v>
      </c>
      <c r="R14" s="93">
        <v>599373.6</v>
      </c>
      <c r="S14" s="88">
        <f t="shared" si="0"/>
        <v>171.91762276273519</v>
      </c>
      <c r="T14" s="88">
        <f>215.602014388*4561/K14</f>
        <v>282.05621489894099</v>
      </c>
      <c r="U14" s="31" t="s">
        <v>87</v>
      </c>
    </row>
    <row r="15" spans="1:21" ht="12" customHeight="1" x14ac:dyDescent="0.25">
      <c r="A15" s="36">
        <v>6</v>
      </c>
      <c r="B15" s="36" t="s">
        <v>58</v>
      </c>
      <c r="C15" s="36" t="s">
        <v>59</v>
      </c>
      <c r="D15" s="40" t="s">
        <v>75</v>
      </c>
      <c r="E15" s="41" t="s">
        <v>63</v>
      </c>
      <c r="F15" s="40">
        <v>15</v>
      </c>
      <c r="G15" s="36"/>
      <c r="H15" s="39"/>
      <c r="I15" s="34">
        <v>1976</v>
      </c>
      <c r="J15" s="92">
        <f>7505.34+703.6</f>
        <v>8208.94</v>
      </c>
      <c r="K15" s="92">
        <v>7505.34</v>
      </c>
      <c r="L15" s="92">
        <v>7259.94</v>
      </c>
      <c r="M15" s="103">
        <v>411</v>
      </c>
      <c r="N15" s="88">
        <v>11989587.24</v>
      </c>
      <c r="O15" s="89">
        <v>0</v>
      </c>
      <c r="P15" s="89">
        <v>0</v>
      </c>
      <c r="Q15" s="89">
        <v>0</v>
      </c>
      <c r="R15" s="93">
        <v>11989587.24</v>
      </c>
      <c r="S15" s="88">
        <f t="shared" si="0"/>
        <v>1597.4742303479923</v>
      </c>
      <c r="T15" s="88">
        <f>1118.12566875*12932/K15</f>
        <v>1926.5750983000103</v>
      </c>
      <c r="U15" s="31" t="s">
        <v>87</v>
      </c>
    </row>
    <row r="16" spans="1:21" ht="12.75" customHeight="1" x14ac:dyDescent="0.25">
      <c r="A16" s="36">
        <v>7</v>
      </c>
      <c r="B16" s="36" t="s">
        <v>58</v>
      </c>
      <c r="C16" s="36" t="s">
        <v>59</v>
      </c>
      <c r="D16" s="44" t="s">
        <v>75</v>
      </c>
      <c r="E16" s="45" t="s">
        <v>64</v>
      </c>
      <c r="F16" s="40">
        <v>5</v>
      </c>
      <c r="G16" s="36"/>
      <c r="H16" s="39"/>
      <c r="I16" s="34">
        <v>1975</v>
      </c>
      <c r="J16" s="92">
        <v>364.7</v>
      </c>
      <c r="K16" s="92">
        <v>2296.35</v>
      </c>
      <c r="L16" s="92">
        <v>1603.55</v>
      </c>
      <c r="M16" s="103">
        <v>76</v>
      </c>
      <c r="N16" s="88">
        <v>8263192.3600000003</v>
      </c>
      <c r="O16" s="89">
        <v>0</v>
      </c>
      <c r="P16" s="89">
        <v>0</v>
      </c>
      <c r="Q16" s="89">
        <v>0</v>
      </c>
      <c r="R16" s="93">
        <v>8263192.3600000003</v>
      </c>
      <c r="S16" s="88">
        <f t="shared" si="0"/>
        <v>3598.4028392884361</v>
      </c>
      <c r="T16" s="88">
        <f>777.056459874*12932/K16</f>
        <v>4376.0289760230662</v>
      </c>
      <c r="U16" s="31" t="s">
        <v>87</v>
      </c>
    </row>
    <row r="17" spans="1:21" ht="13.5" customHeight="1" x14ac:dyDescent="0.25">
      <c r="A17" s="36">
        <v>8</v>
      </c>
      <c r="B17" s="36" t="s">
        <v>58</v>
      </c>
      <c r="C17" s="36" t="s">
        <v>59</v>
      </c>
      <c r="D17" s="44" t="s">
        <v>75</v>
      </c>
      <c r="E17" s="41" t="s">
        <v>64</v>
      </c>
      <c r="F17" s="40">
        <v>17</v>
      </c>
      <c r="G17" s="36"/>
      <c r="H17" s="39"/>
      <c r="I17" s="44">
        <v>1975</v>
      </c>
      <c r="J17" s="91">
        <v>5497.1</v>
      </c>
      <c r="K17" s="91">
        <v>4522.3</v>
      </c>
      <c r="L17" s="91">
        <v>4028.8</v>
      </c>
      <c r="M17" s="107">
        <v>233</v>
      </c>
      <c r="N17" s="88">
        <v>12369951.729999999</v>
      </c>
      <c r="O17" s="89">
        <v>0</v>
      </c>
      <c r="P17" s="89">
        <v>0</v>
      </c>
      <c r="Q17" s="89">
        <v>0</v>
      </c>
      <c r="R17" s="93">
        <v>12369951.729999999</v>
      </c>
      <c r="S17" s="88">
        <f t="shared" si="0"/>
        <v>2735.3231165557345</v>
      </c>
      <c r="T17" s="88">
        <f>1160.5134889*12932/K17</f>
        <v>3318.6123075547398</v>
      </c>
      <c r="U17" s="31" t="s">
        <v>87</v>
      </c>
    </row>
    <row r="18" spans="1:21" ht="12" customHeight="1" x14ac:dyDescent="0.25">
      <c r="A18" s="36">
        <v>9</v>
      </c>
      <c r="B18" s="36" t="s">
        <v>58</v>
      </c>
      <c r="C18" s="36" t="s">
        <v>59</v>
      </c>
      <c r="D18" s="44" t="s">
        <v>75</v>
      </c>
      <c r="E18" s="40" t="s">
        <v>64</v>
      </c>
      <c r="F18" s="40">
        <v>21</v>
      </c>
      <c r="G18" s="36"/>
      <c r="H18" s="39"/>
      <c r="I18" s="44">
        <v>1976</v>
      </c>
      <c r="J18" s="91">
        <v>5416</v>
      </c>
      <c r="K18" s="91">
        <v>4442.5</v>
      </c>
      <c r="L18" s="91">
        <v>4061.5</v>
      </c>
      <c r="M18" s="107">
        <v>205</v>
      </c>
      <c r="N18" s="88">
        <v>9178614.5999999996</v>
      </c>
      <c r="O18" s="89">
        <v>0</v>
      </c>
      <c r="P18" s="89">
        <v>0</v>
      </c>
      <c r="Q18" s="89">
        <v>0</v>
      </c>
      <c r="R18" s="93">
        <v>9178614.5999999996</v>
      </c>
      <c r="S18" s="88">
        <f t="shared" si="0"/>
        <v>2066.0922003376477</v>
      </c>
      <c r="T18" s="88">
        <f>856.609675583*12932/K18</f>
        <v>2493.5681090915828</v>
      </c>
      <c r="U18" s="31" t="s">
        <v>87</v>
      </c>
    </row>
    <row r="19" spans="1:21" ht="12" customHeight="1" x14ac:dyDescent="0.25">
      <c r="A19" s="36">
        <v>10</v>
      </c>
      <c r="B19" s="36" t="s">
        <v>58</v>
      </c>
      <c r="C19" s="36" t="s">
        <v>59</v>
      </c>
      <c r="D19" s="47" t="s">
        <v>75</v>
      </c>
      <c r="E19" s="41" t="s">
        <v>65</v>
      </c>
      <c r="F19" s="41">
        <v>11</v>
      </c>
      <c r="G19" s="36"/>
      <c r="H19" s="39"/>
      <c r="I19" s="42">
        <v>1971</v>
      </c>
      <c r="J19" s="97">
        <v>2190.1999999999998</v>
      </c>
      <c r="K19" s="97">
        <v>1954.1</v>
      </c>
      <c r="L19" s="97">
        <v>1720.8</v>
      </c>
      <c r="M19" s="113">
        <v>91</v>
      </c>
      <c r="N19" s="88">
        <v>4736167.3999999994</v>
      </c>
      <c r="O19" s="89">
        <v>0</v>
      </c>
      <c r="P19" s="89">
        <v>0</v>
      </c>
      <c r="Q19" s="89">
        <v>0</v>
      </c>
      <c r="R19" s="93">
        <v>4736167.3999999994</v>
      </c>
      <c r="S19" s="88">
        <f t="shared" si="0"/>
        <v>2423.7077938693001</v>
      </c>
      <c r="T19" s="88">
        <f>413.608597988*12932/K19+103.182553956*4561/K19</f>
        <v>2978.0471919421384</v>
      </c>
      <c r="U19" s="31" t="s">
        <v>87</v>
      </c>
    </row>
    <row r="20" spans="1:21" ht="12" customHeight="1" x14ac:dyDescent="0.25">
      <c r="A20" s="36">
        <v>11</v>
      </c>
      <c r="B20" s="36" t="s">
        <v>58</v>
      </c>
      <c r="C20" s="36" t="s">
        <v>59</v>
      </c>
      <c r="D20" s="44" t="s">
        <v>75</v>
      </c>
      <c r="E20" s="48" t="s">
        <v>66</v>
      </c>
      <c r="F20" s="41">
        <v>45</v>
      </c>
      <c r="G20" s="36"/>
      <c r="H20" s="39"/>
      <c r="I20" s="49">
        <v>1960</v>
      </c>
      <c r="J20" s="91">
        <v>3914.5</v>
      </c>
      <c r="K20" s="91">
        <v>2697.2</v>
      </c>
      <c r="L20" s="91">
        <v>2675.2</v>
      </c>
      <c r="M20" s="110">
        <v>96</v>
      </c>
      <c r="N20" s="88">
        <v>12757386.140000001</v>
      </c>
      <c r="O20" s="89">
        <v>0</v>
      </c>
      <c r="P20" s="89">
        <v>0</v>
      </c>
      <c r="Q20" s="89">
        <v>0</v>
      </c>
      <c r="R20" s="93">
        <v>12757386.140000001</v>
      </c>
      <c r="S20" s="88">
        <f t="shared" si="0"/>
        <v>4729.8628726086317</v>
      </c>
      <c r="T20" s="88">
        <f>1190.89051697*12932/K20</f>
        <v>5709.8458273231645</v>
      </c>
      <c r="U20" s="31" t="s">
        <v>87</v>
      </c>
    </row>
    <row r="21" spans="1:21" ht="10.5" customHeight="1" x14ac:dyDescent="0.25">
      <c r="A21" s="36">
        <v>12</v>
      </c>
      <c r="B21" s="36" t="s">
        <v>58</v>
      </c>
      <c r="C21" s="36" t="s">
        <v>59</v>
      </c>
      <c r="D21" s="44" t="s">
        <v>75</v>
      </c>
      <c r="E21" s="41" t="s">
        <v>67</v>
      </c>
      <c r="F21" s="40">
        <v>12</v>
      </c>
      <c r="G21" s="36"/>
      <c r="H21" s="39"/>
      <c r="I21" s="44">
        <v>1972</v>
      </c>
      <c r="J21" s="91">
        <v>3507.6</v>
      </c>
      <c r="K21" s="91">
        <v>3503.3</v>
      </c>
      <c r="L21" s="91">
        <v>3408.3</v>
      </c>
      <c r="M21" s="107">
        <v>173</v>
      </c>
      <c r="N21" s="88">
        <v>8069094.79</v>
      </c>
      <c r="O21" s="89">
        <v>0</v>
      </c>
      <c r="P21" s="89">
        <v>0</v>
      </c>
      <c r="Q21" s="89">
        <v>0</v>
      </c>
      <c r="R21" s="93">
        <v>8069094.79</v>
      </c>
      <c r="S21" s="88">
        <f t="shared" si="0"/>
        <v>2303.2839865269889</v>
      </c>
      <c r="T21" s="88">
        <f>752.901605008*12932/K21</f>
        <v>2779.2434435998789</v>
      </c>
      <c r="U21" s="31" t="s">
        <v>87</v>
      </c>
    </row>
    <row r="22" spans="1:21" ht="12.75" customHeight="1" x14ac:dyDescent="0.25">
      <c r="A22" s="36">
        <v>13</v>
      </c>
      <c r="B22" s="36" t="s">
        <v>58</v>
      </c>
      <c r="C22" s="36" t="s">
        <v>59</v>
      </c>
      <c r="D22" s="44" t="s">
        <v>75</v>
      </c>
      <c r="E22" s="41" t="s">
        <v>67</v>
      </c>
      <c r="F22" s="41">
        <v>14</v>
      </c>
      <c r="G22" s="36"/>
      <c r="H22" s="39" t="s">
        <v>84</v>
      </c>
      <c r="I22" s="42">
        <v>1972</v>
      </c>
      <c r="J22" s="97">
        <v>3772</v>
      </c>
      <c r="K22" s="97">
        <v>3465</v>
      </c>
      <c r="L22" s="97">
        <v>3415.2</v>
      </c>
      <c r="M22" s="113">
        <v>178</v>
      </c>
      <c r="N22" s="88">
        <v>599373.6</v>
      </c>
      <c r="O22" s="89">
        <v>0</v>
      </c>
      <c r="P22" s="89">
        <v>0</v>
      </c>
      <c r="Q22" s="89">
        <v>0</v>
      </c>
      <c r="R22" s="93">
        <v>599373.6</v>
      </c>
      <c r="S22" s="88">
        <f t="shared" si="0"/>
        <v>172.97939393939393</v>
      </c>
      <c r="T22" s="88">
        <f>215.602014388*4561/K22</f>
        <v>283.79820710639768</v>
      </c>
      <c r="U22" s="31" t="s">
        <v>87</v>
      </c>
    </row>
    <row r="23" spans="1:21" ht="11.25" customHeight="1" x14ac:dyDescent="0.25">
      <c r="A23" s="36">
        <v>14</v>
      </c>
      <c r="B23" s="36" t="s">
        <v>58</v>
      </c>
      <c r="C23" s="36" t="s">
        <v>59</v>
      </c>
      <c r="D23" s="44" t="s">
        <v>75</v>
      </c>
      <c r="E23" s="41" t="s">
        <v>67</v>
      </c>
      <c r="F23" s="41">
        <v>16</v>
      </c>
      <c r="G23" s="36"/>
      <c r="H23" s="39"/>
      <c r="I23" s="43">
        <v>1974</v>
      </c>
      <c r="J23" s="94">
        <v>8303.7999999999993</v>
      </c>
      <c r="K23" s="95">
        <v>7545.2</v>
      </c>
      <c r="L23" s="94">
        <v>7246.3</v>
      </c>
      <c r="M23" s="103">
        <v>406</v>
      </c>
      <c r="N23" s="88">
        <v>757321.2</v>
      </c>
      <c r="O23" s="89">
        <v>0</v>
      </c>
      <c r="P23" s="89">
        <v>0</v>
      </c>
      <c r="Q23" s="89">
        <v>0</v>
      </c>
      <c r="R23" s="93">
        <v>757321.2</v>
      </c>
      <c r="S23" s="88">
        <f t="shared" si="0"/>
        <v>100.37125589778933</v>
      </c>
      <c r="T23" s="88">
        <f>272.417697841*4561/K23</f>
        <v>164.67384825489069</v>
      </c>
      <c r="U23" s="31" t="s">
        <v>87</v>
      </c>
    </row>
    <row r="24" spans="1:21" ht="12" customHeight="1" x14ac:dyDescent="0.25">
      <c r="A24" s="36">
        <v>15</v>
      </c>
      <c r="B24" s="36" t="s">
        <v>58</v>
      </c>
      <c r="C24" s="36" t="s">
        <v>59</v>
      </c>
      <c r="D24" s="44" t="s">
        <v>75</v>
      </c>
      <c r="E24" s="41" t="s">
        <v>68</v>
      </c>
      <c r="F24" s="41">
        <v>43</v>
      </c>
      <c r="G24" s="36"/>
      <c r="H24" s="39"/>
      <c r="I24" s="43">
        <v>1979</v>
      </c>
      <c r="J24" s="94">
        <v>5839.1</v>
      </c>
      <c r="K24" s="94">
        <v>4258.8</v>
      </c>
      <c r="L24" s="94">
        <v>3953.2</v>
      </c>
      <c r="M24" s="103">
        <v>341</v>
      </c>
      <c r="N24" s="88">
        <v>890193.96</v>
      </c>
      <c r="O24" s="89">
        <v>0</v>
      </c>
      <c r="P24" s="89">
        <v>0</v>
      </c>
      <c r="Q24" s="89">
        <v>0</v>
      </c>
      <c r="R24" s="93">
        <v>890193.96</v>
      </c>
      <c r="S24" s="88">
        <f t="shared" si="0"/>
        <v>209.0245984784446</v>
      </c>
      <c r="T24" s="88">
        <f>320.213654676*4561/K24</f>
        <v>342.93568117245138</v>
      </c>
      <c r="U24" s="31" t="s">
        <v>87</v>
      </c>
    </row>
    <row r="25" spans="1:21" ht="12" customHeight="1" x14ac:dyDescent="0.25">
      <c r="A25" s="36">
        <v>16</v>
      </c>
      <c r="B25" s="36" t="s">
        <v>58</v>
      </c>
      <c r="C25" s="36" t="s">
        <v>59</v>
      </c>
      <c r="D25" s="47" t="s">
        <v>76</v>
      </c>
      <c r="E25" s="41" t="s">
        <v>69</v>
      </c>
      <c r="F25" s="84" t="s">
        <v>78</v>
      </c>
      <c r="G25" s="36"/>
      <c r="H25" s="39"/>
      <c r="I25" s="50">
        <v>1954</v>
      </c>
      <c r="J25" s="98">
        <v>2110.3000000000002</v>
      </c>
      <c r="K25" s="98">
        <v>1939.1</v>
      </c>
      <c r="L25" s="99">
        <v>1939.1</v>
      </c>
      <c r="M25" s="114">
        <v>46</v>
      </c>
      <c r="N25" s="88">
        <v>11466783.189999999</v>
      </c>
      <c r="O25" s="89">
        <v>0</v>
      </c>
      <c r="P25" s="89">
        <v>0</v>
      </c>
      <c r="Q25" s="89">
        <v>0</v>
      </c>
      <c r="R25" s="93">
        <v>11466783.189999999</v>
      </c>
      <c r="S25" s="88">
        <f t="shared" si="0"/>
        <v>5913.4563405703675</v>
      </c>
      <c r="T25" s="88">
        <f>1071.44480269*12932/K25</f>
        <v>7145.5439061353618</v>
      </c>
      <c r="U25" s="31" t="s">
        <v>87</v>
      </c>
    </row>
    <row r="26" spans="1:21" ht="11.25" customHeight="1" x14ac:dyDescent="0.25">
      <c r="A26" s="36">
        <v>17</v>
      </c>
      <c r="B26" s="36" t="s">
        <v>58</v>
      </c>
      <c r="C26" s="36" t="s">
        <v>59</v>
      </c>
      <c r="D26" s="40" t="s">
        <v>76</v>
      </c>
      <c r="E26" s="41" t="s">
        <v>69</v>
      </c>
      <c r="F26" s="84" t="s">
        <v>79</v>
      </c>
      <c r="G26" s="36"/>
      <c r="H26" s="39"/>
      <c r="I26" s="49">
        <v>1953</v>
      </c>
      <c r="J26" s="91">
        <v>2539.9</v>
      </c>
      <c r="K26" s="91">
        <v>1928.7</v>
      </c>
      <c r="L26" s="91">
        <v>1625.8</v>
      </c>
      <c r="M26" s="110">
        <v>60</v>
      </c>
      <c r="N26" s="88">
        <v>9196876.9399999995</v>
      </c>
      <c r="O26" s="89">
        <v>0</v>
      </c>
      <c r="P26" s="89">
        <v>0</v>
      </c>
      <c r="Q26" s="89">
        <v>0</v>
      </c>
      <c r="R26" s="93">
        <v>9196876.9399999995</v>
      </c>
      <c r="S26" s="88">
        <f>N26/K26</f>
        <v>4768.4331103852328</v>
      </c>
      <c r="T26" s="172">
        <f>1519.12656877*24030/K26</f>
        <v>18927.05524319132</v>
      </c>
      <c r="U26" s="31" t="s">
        <v>87</v>
      </c>
    </row>
    <row r="27" spans="1:21" ht="12" customHeight="1" x14ac:dyDescent="0.25">
      <c r="A27" s="36">
        <v>18</v>
      </c>
      <c r="B27" s="36" t="s">
        <v>58</v>
      </c>
      <c r="C27" s="36" t="s">
        <v>59</v>
      </c>
      <c r="D27" s="41" t="s">
        <v>76</v>
      </c>
      <c r="E27" s="41" t="s">
        <v>69</v>
      </c>
      <c r="F27" s="84" t="s">
        <v>80</v>
      </c>
      <c r="G27" s="36"/>
      <c r="H27" s="39"/>
      <c r="I27" s="44">
        <v>1958</v>
      </c>
      <c r="J27" s="91">
        <v>2958.4</v>
      </c>
      <c r="K27" s="91">
        <v>2705.2</v>
      </c>
      <c r="L27" s="91">
        <v>2545.3000000000002</v>
      </c>
      <c r="M27" s="110">
        <v>130</v>
      </c>
      <c r="N27" s="88">
        <v>12367614.65</v>
      </c>
      <c r="O27" s="89">
        <v>0</v>
      </c>
      <c r="P27" s="89">
        <v>0</v>
      </c>
      <c r="Q27" s="89">
        <v>0</v>
      </c>
      <c r="R27" s="93">
        <v>12367614.65</v>
      </c>
      <c r="S27" s="88">
        <f t="shared" si="0"/>
        <v>4571.7930836906698</v>
      </c>
      <c r="T27" s="88">
        <f>1154.8555995*12932/K27</f>
        <v>5520.6981416287153</v>
      </c>
      <c r="U27" s="31" t="s">
        <v>87</v>
      </c>
    </row>
    <row r="28" spans="1:21" ht="11.25" customHeight="1" x14ac:dyDescent="0.25">
      <c r="A28" s="36">
        <v>19</v>
      </c>
      <c r="B28" s="36" t="s">
        <v>58</v>
      </c>
      <c r="C28" s="36" t="s">
        <v>59</v>
      </c>
      <c r="D28" s="40" t="s">
        <v>76</v>
      </c>
      <c r="E28" s="48" t="s">
        <v>69</v>
      </c>
      <c r="F28" s="41" t="s">
        <v>81</v>
      </c>
      <c r="G28" s="36"/>
      <c r="H28" s="39"/>
      <c r="I28" s="42">
        <v>1957</v>
      </c>
      <c r="J28" s="98">
        <v>1347</v>
      </c>
      <c r="K28" s="100">
        <v>1347.4</v>
      </c>
      <c r="L28" s="90">
        <v>1231</v>
      </c>
      <c r="M28" s="115">
        <v>36</v>
      </c>
      <c r="N28" s="88">
        <v>8668939.9100000001</v>
      </c>
      <c r="O28" s="89">
        <v>0</v>
      </c>
      <c r="P28" s="89">
        <v>0</v>
      </c>
      <c r="Q28" s="89">
        <v>0</v>
      </c>
      <c r="R28" s="93">
        <v>8668939.9100000001</v>
      </c>
      <c r="S28" s="88">
        <f t="shared" si="0"/>
        <v>6433.8280466082824</v>
      </c>
      <c r="T28" s="88">
        <f>810.764403339*12932/K28</f>
        <v>7781.5090277422787</v>
      </c>
      <c r="U28" s="31" t="s">
        <v>87</v>
      </c>
    </row>
    <row r="29" spans="1:21" ht="11.25" customHeight="1" x14ac:dyDescent="0.25">
      <c r="A29" s="36">
        <v>20</v>
      </c>
      <c r="B29" s="36" t="s">
        <v>58</v>
      </c>
      <c r="C29" s="36" t="s">
        <v>59</v>
      </c>
      <c r="D29" s="40" t="s">
        <v>76</v>
      </c>
      <c r="E29" s="48" t="s">
        <v>69</v>
      </c>
      <c r="F29" s="41">
        <v>40</v>
      </c>
      <c r="G29" s="36"/>
      <c r="H29" s="39" t="s">
        <v>84</v>
      </c>
      <c r="I29" s="42">
        <v>1958</v>
      </c>
      <c r="J29" s="98">
        <v>3876.9</v>
      </c>
      <c r="K29" s="100">
        <v>2956.1</v>
      </c>
      <c r="L29" s="90">
        <v>2688</v>
      </c>
      <c r="M29" s="115">
        <v>106</v>
      </c>
      <c r="N29" s="88">
        <v>12652486.859999999</v>
      </c>
      <c r="O29" s="89">
        <v>0</v>
      </c>
      <c r="P29" s="89">
        <v>0</v>
      </c>
      <c r="Q29" s="89">
        <v>0</v>
      </c>
      <c r="R29" s="93">
        <v>12652486.859999999</v>
      </c>
      <c r="S29" s="88">
        <f t="shared" si="0"/>
        <v>4280.1281621054768</v>
      </c>
      <c r="T29" s="88">
        <f>1180.56285145*12932/K29</f>
        <v>5164.5880704141946</v>
      </c>
      <c r="U29" s="31" t="s">
        <v>87</v>
      </c>
    </row>
    <row r="30" spans="1:21" ht="11.25" customHeight="1" x14ac:dyDescent="0.25">
      <c r="A30" s="36">
        <v>21</v>
      </c>
      <c r="B30" s="36" t="s">
        <v>58</v>
      </c>
      <c r="C30" s="36" t="s">
        <v>59</v>
      </c>
      <c r="D30" s="41" t="s">
        <v>76</v>
      </c>
      <c r="E30" s="41" t="s">
        <v>69</v>
      </c>
      <c r="F30" s="81">
        <v>110</v>
      </c>
      <c r="G30" s="36"/>
      <c r="H30" s="39"/>
      <c r="I30" s="50">
        <v>1967</v>
      </c>
      <c r="J30" s="98">
        <v>7208.2</v>
      </c>
      <c r="K30" s="98">
        <v>5270.8</v>
      </c>
      <c r="L30" s="98">
        <v>5093.5</v>
      </c>
      <c r="M30" s="114">
        <v>240</v>
      </c>
      <c r="N30" s="88">
        <v>11842389.939999999</v>
      </c>
      <c r="O30" s="89">
        <v>0</v>
      </c>
      <c r="P30" s="89">
        <v>0</v>
      </c>
      <c r="Q30" s="89">
        <v>0</v>
      </c>
      <c r="R30" s="93">
        <v>11842389.939999999</v>
      </c>
      <c r="S30" s="88">
        <f t="shared" si="0"/>
        <v>2246.7917469833801</v>
      </c>
      <c r="T30" s="88">
        <f>1105.01873743*12932/K30</f>
        <v>2711.1828019360933</v>
      </c>
      <c r="U30" s="32" t="s">
        <v>87</v>
      </c>
    </row>
    <row r="31" spans="1:21" ht="11.25" customHeight="1" x14ac:dyDescent="0.25">
      <c r="A31" s="36">
        <v>22</v>
      </c>
      <c r="B31" s="36" t="s">
        <v>58</v>
      </c>
      <c r="C31" s="36" t="s">
        <v>59</v>
      </c>
      <c r="D31" s="40" t="s">
        <v>76</v>
      </c>
      <c r="E31" s="41" t="s">
        <v>69</v>
      </c>
      <c r="F31" s="40">
        <v>230</v>
      </c>
      <c r="G31" s="36"/>
      <c r="H31" s="39"/>
      <c r="I31" s="34">
        <v>1988</v>
      </c>
      <c r="J31" s="92">
        <f>3831.4+584.8</f>
        <v>4416.2</v>
      </c>
      <c r="K31" s="92">
        <v>3831.4</v>
      </c>
      <c r="L31" s="92">
        <v>3795.9</v>
      </c>
      <c r="M31" s="103">
        <v>166</v>
      </c>
      <c r="N31" s="88">
        <v>6308396.3700000001</v>
      </c>
      <c r="O31" s="89">
        <v>0</v>
      </c>
      <c r="P31" s="89">
        <v>0</v>
      </c>
      <c r="Q31" s="89">
        <v>0</v>
      </c>
      <c r="R31" s="93">
        <v>6308396.3700000001</v>
      </c>
      <c r="S31" s="88">
        <f t="shared" si="0"/>
        <v>1646.4990264655216</v>
      </c>
      <c r="T31" s="88">
        <f>587.454736292*12932/K31</f>
        <v>1982.8168945367606</v>
      </c>
      <c r="U31" s="31" t="s">
        <v>87</v>
      </c>
    </row>
    <row r="32" spans="1:21" ht="11.25" customHeight="1" x14ac:dyDescent="0.25">
      <c r="A32" s="36">
        <v>23</v>
      </c>
      <c r="B32" s="36" t="s">
        <v>58</v>
      </c>
      <c r="C32" s="36" t="s">
        <v>59</v>
      </c>
      <c r="D32" s="40" t="s">
        <v>76</v>
      </c>
      <c r="E32" s="41" t="s">
        <v>70</v>
      </c>
      <c r="F32" s="85">
        <v>34</v>
      </c>
      <c r="G32" s="36"/>
      <c r="H32" s="39"/>
      <c r="I32" s="44">
        <v>1983</v>
      </c>
      <c r="J32" s="91">
        <v>25683.21</v>
      </c>
      <c r="K32" s="91">
        <v>13872</v>
      </c>
      <c r="L32" s="91">
        <v>13284.8</v>
      </c>
      <c r="M32" s="110">
        <v>555</v>
      </c>
      <c r="N32" s="88">
        <v>40447817.549999997</v>
      </c>
      <c r="O32" s="89">
        <v>0</v>
      </c>
      <c r="P32" s="89">
        <v>0</v>
      </c>
      <c r="Q32" s="89">
        <v>0</v>
      </c>
      <c r="R32" s="93">
        <v>40447817.549999997</v>
      </c>
      <c r="S32" s="88">
        <f t="shared" si="0"/>
        <v>2915.7884623702421</v>
      </c>
      <c r="T32" s="88">
        <f>3801.98322804*12932/K32</f>
        <v>3544.3517232564359</v>
      </c>
      <c r="U32" s="31" t="s">
        <v>87</v>
      </c>
    </row>
    <row r="33" spans="1:21" ht="12" customHeight="1" x14ac:dyDescent="0.25">
      <c r="A33" s="36">
        <v>24</v>
      </c>
      <c r="B33" s="36" t="s">
        <v>58</v>
      </c>
      <c r="C33" s="36" t="s">
        <v>59</v>
      </c>
      <c r="D33" s="51" t="s">
        <v>76</v>
      </c>
      <c r="E33" s="41" t="s">
        <v>70</v>
      </c>
      <c r="F33" s="85">
        <v>60</v>
      </c>
      <c r="G33" s="36"/>
      <c r="H33" s="39"/>
      <c r="I33" s="34">
        <v>1973</v>
      </c>
      <c r="J33" s="92">
        <v>8299.2000000000007</v>
      </c>
      <c r="K33" s="92">
        <v>7533.9</v>
      </c>
      <c r="L33" s="92">
        <f>K33-124.6</f>
        <v>7409.2999999999993</v>
      </c>
      <c r="M33" s="103">
        <v>360</v>
      </c>
      <c r="N33" s="88">
        <v>12340051.91</v>
      </c>
      <c r="O33" s="89">
        <v>0</v>
      </c>
      <c r="P33" s="89">
        <v>0</v>
      </c>
      <c r="Q33" s="89">
        <v>0</v>
      </c>
      <c r="R33" s="93">
        <v>12340051.91</v>
      </c>
      <c r="S33" s="88">
        <f t="shared" si="0"/>
        <v>1637.936780419172</v>
      </c>
      <c r="T33" s="88">
        <f>1151.71656232*12932/K33</f>
        <v>1976.9307508624008</v>
      </c>
      <c r="U33" s="31" t="s">
        <v>87</v>
      </c>
    </row>
    <row r="34" spans="1:21" ht="12" customHeight="1" x14ac:dyDescent="0.25">
      <c r="A34" s="36">
        <v>25</v>
      </c>
      <c r="B34" s="36" t="s">
        <v>58</v>
      </c>
      <c r="C34" s="36" t="s">
        <v>59</v>
      </c>
      <c r="D34" s="51" t="s">
        <v>76</v>
      </c>
      <c r="E34" s="41" t="s">
        <v>70</v>
      </c>
      <c r="F34" s="40">
        <v>76</v>
      </c>
      <c r="G34" s="36"/>
      <c r="H34" s="39"/>
      <c r="I34" s="43">
        <v>1974</v>
      </c>
      <c r="J34" s="92">
        <v>4676.3</v>
      </c>
      <c r="K34" s="93">
        <v>4173.5</v>
      </c>
      <c r="L34" s="92">
        <v>4063</v>
      </c>
      <c r="M34" s="103">
        <v>185</v>
      </c>
      <c r="N34" s="88">
        <v>10453251.09</v>
      </c>
      <c r="O34" s="89">
        <v>0</v>
      </c>
      <c r="P34" s="89">
        <v>0</v>
      </c>
      <c r="Q34" s="89">
        <v>0</v>
      </c>
      <c r="R34" s="88">
        <v>10453251.09</v>
      </c>
      <c r="S34" s="88">
        <f t="shared" si="0"/>
        <v>2504.6725985383969</v>
      </c>
      <c r="T34" s="88">
        <f>976.24951622*12932/K34</f>
        <v>3025.0050901538375</v>
      </c>
      <c r="U34" s="31" t="s">
        <v>87</v>
      </c>
    </row>
    <row r="35" spans="1:21" ht="10.5" customHeight="1" x14ac:dyDescent="0.25">
      <c r="A35" s="36">
        <v>26</v>
      </c>
      <c r="B35" s="36" t="s">
        <v>58</v>
      </c>
      <c r="C35" s="36" t="s">
        <v>59</v>
      </c>
      <c r="D35" s="52" t="s">
        <v>77</v>
      </c>
      <c r="E35" s="41" t="s">
        <v>71</v>
      </c>
      <c r="F35" s="41">
        <v>6</v>
      </c>
      <c r="G35" s="36"/>
      <c r="H35" s="39"/>
      <c r="I35" s="43">
        <v>1969</v>
      </c>
      <c r="J35" s="94">
        <v>5792.7</v>
      </c>
      <c r="K35" s="95">
        <v>5310.3</v>
      </c>
      <c r="L35" s="94">
        <v>4988.6000000000004</v>
      </c>
      <c r="M35" s="103">
        <v>266</v>
      </c>
      <c r="N35" s="88">
        <v>909306.7</v>
      </c>
      <c r="O35" s="89">
        <v>0</v>
      </c>
      <c r="P35" s="89">
        <v>0</v>
      </c>
      <c r="Q35" s="89">
        <v>0</v>
      </c>
      <c r="R35" s="88">
        <v>909306.7</v>
      </c>
      <c r="S35" s="88">
        <f t="shared" si="0"/>
        <v>171.23452535638287</v>
      </c>
      <c r="T35" s="88">
        <f>327.088741007*4561/K35</f>
        <v>280.9354928597117</v>
      </c>
      <c r="U35" s="31" t="s">
        <v>87</v>
      </c>
    </row>
    <row r="36" spans="1:21" ht="12" customHeight="1" x14ac:dyDescent="0.25">
      <c r="A36" s="36">
        <v>27</v>
      </c>
      <c r="B36" s="36" t="s">
        <v>58</v>
      </c>
      <c r="C36" s="36" t="s">
        <v>59</v>
      </c>
      <c r="D36" s="51" t="s">
        <v>77</v>
      </c>
      <c r="E36" s="41" t="s">
        <v>72</v>
      </c>
      <c r="F36" s="40">
        <v>33</v>
      </c>
      <c r="G36" s="36"/>
      <c r="H36" s="39"/>
      <c r="I36" s="42">
        <v>1964</v>
      </c>
      <c r="J36" s="97">
        <v>2193.9</v>
      </c>
      <c r="K36" s="97">
        <v>2034.3</v>
      </c>
      <c r="L36" s="97">
        <v>1982.8999999999999</v>
      </c>
      <c r="M36" s="113">
        <v>81</v>
      </c>
      <c r="N36" s="88">
        <v>519425.18</v>
      </c>
      <c r="O36" s="89">
        <v>0</v>
      </c>
      <c r="P36" s="89">
        <v>0</v>
      </c>
      <c r="Q36" s="89">
        <v>0</v>
      </c>
      <c r="R36" s="88">
        <v>519425.18</v>
      </c>
      <c r="S36" s="88">
        <f t="shared" si="0"/>
        <v>255.33361844369071</v>
      </c>
      <c r="T36" s="88">
        <f>186.843589928*4561/K36</f>
        <v>418.91245817313472</v>
      </c>
      <c r="U36" s="31" t="s">
        <v>87</v>
      </c>
    </row>
    <row r="37" spans="1:21" ht="10.5" customHeight="1" x14ac:dyDescent="0.25">
      <c r="A37" s="36">
        <v>28</v>
      </c>
      <c r="B37" s="36" t="s">
        <v>58</v>
      </c>
      <c r="C37" s="36" t="s">
        <v>59</v>
      </c>
      <c r="D37" s="40" t="s">
        <v>77</v>
      </c>
      <c r="E37" s="41" t="s">
        <v>73</v>
      </c>
      <c r="F37" s="84" t="s">
        <v>82</v>
      </c>
      <c r="G37" s="36"/>
      <c r="H37" s="39"/>
      <c r="I37" s="42">
        <v>1957</v>
      </c>
      <c r="J37" s="100">
        <v>3876.9</v>
      </c>
      <c r="K37" s="100">
        <v>3510.6</v>
      </c>
      <c r="L37" s="99">
        <v>3454.9</v>
      </c>
      <c r="M37" s="115">
        <v>122</v>
      </c>
      <c r="N37" s="88">
        <v>15099073.77</v>
      </c>
      <c r="O37" s="89">
        <v>0</v>
      </c>
      <c r="P37" s="89">
        <v>0</v>
      </c>
      <c r="Q37" s="89">
        <v>0</v>
      </c>
      <c r="R37" s="88">
        <v>15099073.77</v>
      </c>
      <c r="S37" s="88">
        <f t="shared" si="0"/>
        <v>4300.9952059477009</v>
      </c>
      <c r="T37" s="172">
        <f>2505.44263291*24030/K37</f>
        <v>17149.714142547517</v>
      </c>
      <c r="U37" s="31" t="s">
        <v>87</v>
      </c>
    </row>
    <row r="38" spans="1:21" ht="11.25" customHeight="1" x14ac:dyDescent="0.25">
      <c r="A38" s="36">
        <v>29</v>
      </c>
      <c r="B38" s="36" t="s">
        <v>58</v>
      </c>
      <c r="C38" s="36" t="s">
        <v>59</v>
      </c>
      <c r="D38" s="40" t="s">
        <v>77</v>
      </c>
      <c r="E38" s="41" t="s">
        <v>74</v>
      </c>
      <c r="F38" s="84" t="s">
        <v>83</v>
      </c>
      <c r="G38" s="36"/>
      <c r="H38" s="39"/>
      <c r="I38" s="35">
        <v>1991</v>
      </c>
      <c r="J38" s="91">
        <v>7950</v>
      </c>
      <c r="K38" s="91">
        <v>5063.8999999999996</v>
      </c>
      <c r="L38" s="91">
        <v>5003.3999999999996</v>
      </c>
      <c r="M38" s="110">
        <v>143</v>
      </c>
      <c r="N38" s="88">
        <v>8504802.540000001</v>
      </c>
      <c r="O38" s="89">
        <v>0</v>
      </c>
      <c r="P38" s="89">
        <v>0</v>
      </c>
      <c r="Q38" s="89">
        <v>0</v>
      </c>
      <c r="R38" s="88">
        <v>8504802.540000001</v>
      </c>
      <c r="S38" s="88">
        <f t="shared" si="0"/>
        <v>1679.4965421908018</v>
      </c>
      <c r="T38" s="88">
        <f>787.420261809*12932/K38</f>
        <v>2010.884659198244</v>
      </c>
      <c r="U38" s="31" t="s">
        <v>87</v>
      </c>
    </row>
    <row r="39" spans="1:21" ht="12" customHeight="1" x14ac:dyDescent="0.25">
      <c r="A39" s="161">
        <v>30</v>
      </c>
      <c r="B39" s="161" t="s">
        <v>58</v>
      </c>
      <c r="C39" s="161" t="s">
        <v>59</v>
      </c>
      <c r="D39" s="162" t="s">
        <v>77</v>
      </c>
      <c r="E39" s="163" t="s">
        <v>74</v>
      </c>
      <c r="F39" s="164">
        <v>23</v>
      </c>
      <c r="G39" s="161"/>
      <c r="H39" s="165"/>
      <c r="I39" s="166">
        <v>1974</v>
      </c>
      <c r="J39" s="167">
        <v>3695.2</v>
      </c>
      <c r="K39" s="167">
        <v>2428.6999999999998</v>
      </c>
      <c r="L39" s="167">
        <v>2203.5</v>
      </c>
      <c r="M39" s="168">
        <v>329</v>
      </c>
      <c r="N39" s="88">
        <v>630273.30000000005</v>
      </c>
      <c r="O39" s="170">
        <v>0</v>
      </c>
      <c r="P39" s="170">
        <v>0</v>
      </c>
      <c r="Q39" s="170">
        <v>0</v>
      </c>
      <c r="R39" s="169">
        <v>630273.30000000005</v>
      </c>
      <c r="S39" s="169">
        <f t="shared" si="0"/>
        <v>259.51056120558326</v>
      </c>
      <c r="T39" s="88">
        <f>226.717014388*4561/K39</f>
        <v>425.76534879716229</v>
      </c>
      <c r="U39" s="171" t="s">
        <v>87</v>
      </c>
    </row>
    <row r="40" spans="1:21" ht="22.5" customHeight="1" x14ac:dyDescent="0.25">
      <c r="A40" s="216" t="s">
        <v>105</v>
      </c>
      <c r="B40" s="216"/>
      <c r="C40" s="216"/>
      <c r="D40" s="216"/>
      <c r="E40" s="216"/>
      <c r="F40" s="216"/>
      <c r="G40" s="216"/>
      <c r="H40" s="216"/>
      <c r="I40" s="69" t="s">
        <v>0</v>
      </c>
      <c r="J40" s="70">
        <f t="shared" ref="J40:R40" si="1">SUM(J10:J39)</f>
        <v>158627.5</v>
      </c>
      <c r="K40" s="70">
        <f t="shared" si="1"/>
        <v>129469.14</v>
      </c>
      <c r="L40" s="70">
        <f t="shared" si="1"/>
        <v>122703.68999999999</v>
      </c>
      <c r="M40" s="69">
        <f t="shared" si="1"/>
        <v>6088</v>
      </c>
      <c r="N40" s="173">
        <f t="shared" si="1"/>
        <v>276791870.06</v>
      </c>
      <c r="O40" s="71">
        <f t="shared" si="1"/>
        <v>0</v>
      </c>
      <c r="P40" s="71">
        <f t="shared" si="1"/>
        <v>0</v>
      </c>
      <c r="Q40" s="71">
        <f t="shared" si="1"/>
        <v>0</v>
      </c>
      <c r="R40" s="173">
        <f t="shared" si="1"/>
        <v>276791870.06</v>
      </c>
      <c r="S40" s="69" t="s">
        <v>0</v>
      </c>
      <c r="T40" s="69" t="s">
        <v>0</v>
      </c>
      <c r="U40" s="69" t="s">
        <v>0</v>
      </c>
    </row>
    <row r="41" spans="1:21" ht="16.5" customHeight="1" x14ac:dyDescent="0.25">
      <c r="A41" s="27"/>
      <c r="B41" s="28"/>
      <c r="C41" s="28"/>
      <c r="D41" s="28"/>
      <c r="E41" s="28"/>
      <c r="F41" s="28"/>
      <c r="G41" s="28"/>
      <c r="H41" s="28"/>
      <c r="I41" s="58"/>
      <c r="J41" s="59"/>
      <c r="K41" s="59"/>
      <c r="L41" s="59"/>
      <c r="M41" s="58"/>
      <c r="N41" s="59"/>
      <c r="O41" s="60"/>
      <c r="P41" s="60"/>
      <c r="Q41" s="60"/>
      <c r="R41" s="59"/>
      <c r="S41" s="61"/>
      <c r="T41" s="58"/>
      <c r="U41" s="62"/>
    </row>
    <row r="42" spans="1:21" ht="15.75" x14ac:dyDescent="0.25">
      <c r="A42" s="213" t="s">
        <v>89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5"/>
    </row>
    <row r="43" spans="1:21" ht="9.75" customHeight="1" x14ac:dyDescent="0.25">
      <c r="A43" s="36">
        <v>1</v>
      </c>
      <c r="B43" s="36" t="s">
        <v>58</v>
      </c>
      <c r="C43" s="36" t="s">
        <v>59</v>
      </c>
      <c r="D43" s="42" t="s">
        <v>75</v>
      </c>
      <c r="E43" s="34" t="s">
        <v>93</v>
      </c>
      <c r="F43" s="34">
        <v>7</v>
      </c>
      <c r="G43" s="103"/>
      <c r="H43" s="39"/>
      <c r="I43" s="108">
        <v>1998</v>
      </c>
      <c r="J43" s="90">
        <v>4812.8</v>
      </c>
      <c r="K43" s="90">
        <v>4180.3</v>
      </c>
      <c r="L43" s="90">
        <v>4063.6</v>
      </c>
      <c r="M43" s="177">
        <v>186</v>
      </c>
      <c r="N43" s="88">
        <f>O43+P43+Q43+R43</f>
        <v>11014460</v>
      </c>
      <c r="O43" s="33">
        <v>0</v>
      </c>
      <c r="P43" s="33">
        <v>0</v>
      </c>
      <c r="Q43" s="33">
        <v>0</v>
      </c>
      <c r="R43" s="25">
        <v>11014460</v>
      </c>
      <c r="S43" s="88">
        <f>N43/K43</f>
        <v>2634.849173504294</v>
      </c>
      <c r="T43" s="87">
        <f>2*6933479/K43</f>
        <v>3317.2159892830655</v>
      </c>
      <c r="U43" s="109" t="s">
        <v>101</v>
      </c>
    </row>
    <row r="44" spans="1:21" ht="9.75" customHeight="1" x14ac:dyDescent="0.25">
      <c r="A44" s="36">
        <v>2</v>
      </c>
      <c r="B44" s="36" t="s">
        <v>58</v>
      </c>
      <c r="C44" s="36" t="s">
        <v>59</v>
      </c>
      <c r="D44" s="42" t="s">
        <v>77</v>
      </c>
      <c r="E44" s="34" t="s">
        <v>110</v>
      </c>
      <c r="F44" s="42">
        <v>11</v>
      </c>
      <c r="G44" s="103"/>
      <c r="H44" s="39"/>
      <c r="I44" s="108">
        <v>1955</v>
      </c>
      <c r="J44" s="90">
        <f>K44+231</f>
        <v>2216.6</v>
      </c>
      <c r="K44" s="90">
        <v>1985.6</v>
      </c>
      <c r="L44" s="90">
        <v>1985.6</v>
      </c>
      <c r="M44" s="112">
        <v>71</v>
      </c>
      <c r="N44" s="88">
        <f>O44+P44+Q44+R44</f>
        <v>16234216</v>
      </c>
      <c r="O44" s="33">
        <v>0</v>
      </c>
      <c r="P44" s="33">
        <v>0</v>
      </c>
      <c r="Q44" s="33">
        <v>0</v>
      </c>
      <c r="R44" s="25">
        <v>16234216</v>
      </c>
      <c r="S44" s="88">
        <f>N44/K44</f>
        <v>8175.9750201450443</v>
      </c>
      <c r="T44" s="87">
        <f>1263*12932/K44</f>
        <v>8225.7836422240125</v>
      </c>
      <c r="U44" s="109" t="s">
        <v>101</v>
      </c>
    </row>
    <row r="45" spans="1:21" ht="9.75" customHeight="1" x14ac:dyDescent="0.25">
      <c r="A45" s="36">
        <v>3</v>
      </c>
      <c r="B45" s="36" t="s">
        <v>58</v>
      </c>
      <c r="C45" s="36" t="s">
        <v>59</v>
      </c>
      <c r="D45" s="42" t="s">
        <v>77</v>
      </c>
      <c r="E45" s="34" t="s">
        <v>94</v>
      </c>
      <c r="F45" s="42">
        <v>4</v>
      </c>
      <c r="G45" s="42"/>
      <c r="H45" s="39"/>
      <c r="I45" s="106">
        <v>1999</v>
      </c>
      <c r="J45" s="121">
        <v>6405.9</v>
      </c>
      <c r="K45" s="121">
        <v>6405.9</v>
      </c>
      <c r="L45" s="121">
        <v>4298.3</v>
      </c>
      <c r="M45" s="177">
        <v>167</v>
      </c>
      <c r="N45" s="88">
        <f t="shared" ref="N45:N60" si="2">O45+P45+Q45+R45</f>
        <v>11014460</v>
      </c>
      <c r="O45" s="33">
        <v>0</v>
      </c>
      <c r="P45" s="33">
        <v>0</v>
      </c>
      <c r="Q45" s="33">
        <v>0</v>
      </c>
      <c r="R45" s="25">
        <v>11014460</v>
      </c>
      <c r="S45" s="88">
        <f t="shared" ref="S45:S60" si="3">N45/K45</f>
        <v>1719.4242807411918</v>
      </c>
      <c r="T45" s="87">
        <f>2*6933479/K45</f>
        <v>2164.7165893941524</v>
      </c>
      <c r="U45" s="109" t="s">
        <v>101</v>
      </c>
    </row>
    <row r="46" spans="1:21" ht="10.5" customHeight="1" x14ac:dyDescent="0.25">
      <c r="A46" s="36">
        <v>4</v>
      </c>
      <c r="B46" s="36" t="s">
        <v>58</v>
      </c>
      <c r="C46" s="36" t="s">
        <v>59</v>
      </c>
      <c r="D46" s="42" t="s">
        <v>77</v>
      </c>
      <c r="E46" s="34" t="s">
        <v>94</v>
      </c>
      <c r="F46" s="42">
        <v>18</v>
      </c>
      <c r="G46" s="42"/>
      <c r="H46" s="39"/>
      <c r="I46" s="106">
        <v>1998</v>
      </c>
      <c r="J46" s="121">
        <v>3306.99</v>
      </c>
      <c r="K46" s="121">
        <v>2078.5</v>
      </c>
      <c r="L46" s="121">
        <v>2034.1</v>
      </c>
      <c r="M46" s="177">
        <v>39</v>
      </c>
      <c r="N46" s="88">
        <f t="shared" si="2"/>
        <v>5647230</v>
      </c>
      <c r="O46" s="33">
        <v>0</v>
      </c>
      <c r="P46" s="33">
        <v>0</v>
      </c>
      <c r="Q46" s="33">
        <v>0</v>
      </c>
      <c r="R46" s="25">
        <v>5647230</v>
      </c>
      <c r="S46" s="88">
        <f t="shared" si="3"/>
        <v>2716.9737791676689</v>
      </c>
      <c r="T46" s="87">
        <f>1*6933479/K46</f>
        <v>3335.808996872745</v>
      </c>
      <c r="U46" s="109" t="s">
        <v>101</v>
      </c>
    </row>
    <row r="47" spans="1:21" ht="10.5" customHeight="1" x14ac:dyDescent="0.25">
      <c r="A47" s="36">
        <v>5</v>
      </c>
      <c r="B47" s="36" t="s">
        <v>58</v>
      </c>
      <c r="C47" s="36" t="s">
        <v>59</v>
      </c>
      <c r="D47" s="104" t="s">
        <v>77</v>
      </c>
      <c r="E47" s="35" t="s">
        <v>94</v>
      </c>
      <c r="F47" s="51">
        <v>57</v>
      </c>
      <c r="G47" s="46"/>
      <c r="H47" s="39"/>
      <c r="I47" s="106">
        <v>1986</v>
      </c>
      <c r="J47" s="121">
        <v>5143.3</v>
      </c>
      <c r="K47" s="121">
        <v>4467.1000000000004</v>
      </c>
      <c r="L47" s="121">
        <v>4222.1000000000004</v>
      </c>
      <c r="M47" s="177">
        <v>209</v>
      </c>
      <c r="N47" s="88">
        <f t="shared" si="2"/>
        <v>16163476.800000001</v>
      </c>
      <c r="O47" s="33">
        <v>0</v>
      </c>
      <c r="P47" s="33">
        <v>0</v>
      </c>
      <c r="Q47" s="33">
        <v>0</v>
      </c>
      <c r="R47" s="91">
        <v>16163476.800000001</v>
      </c>
      <c r="S47" s="88">
        <f t="shared" si="3"/>
        <v>3618.337803048958</v>
      </c>
      <c r="T47" s="87">
        <f>1257.4*12932/K47</f>
        <v>3640.101363300575</v>
      </c>
      <c r="U47" s="109" t="s">
        <v>101</v>
      </c>
    </row>
    <row r="48" spans="1:21" ht="10.5" customHeight="1" x14ac:dyDescent="0.25">
      <c r="A48" s="36">
        <v>6</v>
      </c>
      <c r="B48" s="36" t="s">
        <v>58</v>
      </c>
      <c r="C48" s="75" t="s">
        <v>59</v>
      </c>
      <c r="D48" s="51" t="s">
        <v>75</v>
      </c>
      <c r="E48" s="127" t="s">
        <v>111</v>
      </c>
      <c r="F48" s="128">
        <v>4</v>
      </c>
      <c r="G48" s="46"/>
      <c r="H48" s="39"/>
      <c r="I48" s="106">
        <v>1954</v>
      </c>
      <c r="J48" s="90">
        <f>264.3+K48</f>
        <v>2295.7000000000003</v>
      </c>
      <c r="K48" s="90">
        <v>2031.4</v>
      </c>
      <c r="L48" s="90">
        <v>2031.4</v>
      </c>
      <c r="M48" s="112">
        <v>78</v>
      </c>
      <c r="N48" s="88">
        <f t="shared" si="2"/>
        <v>15716304</v>
      </c>
      <c r="O48" s="33">
        <v>0</v>
      </c>
      <c r="P48" s="33">
        <v>0</v>
      </c>
      <c r="Q48" s="33">
        <v>0</v>
      </c>
      <c r="R48" s="91">
        <v>15716304</v>
      </c>
      <c r="S48" s="88">
        <f t="shared" si="3"/>
        <v>7736.6860293393711</v>
      </c>
      <c r="T48" s="87">
        <f>1222*12932/K48</f>
        <v>7779.3167273801319</v>
      </c>
      <c r="U48" s="109" t="s">
        <v>101</v>
      </c>
    </row>
    <row r="49" spans="1:21" ht="10.5" customHeight="1" x14ac:dyDescent="0.25">
      <c r="A49" s="36">
        <v>7</v>
      </c>
      <c r="B49" s="36" t="s">
        <v>58</v>
      </c>
      <c r="C49" s="36" t="s">
        <v>59</v>
      </c>
      <c r="D49" s="104" t="s">
        <v>76</v>
      </c>
      <c r="E49" s="104" t="s">
        <v>69</v>
      </c>
      <c r="F49" s="79" t="s">
        <v>116</v>
      </c>
      <c r="G49" s="46"/>
      <c r="H49" s="39"/>
      <c r="I49" s="106">
        <v>1954</v>
      </c>
      <c r="J49" s="90">
        <v>2190.9</v>
      </c>
      <c r="K49" s="90">
        <v>1940.4</v>
      </c>
      <c r="L49" s="90">
        <v>1940.4</v>
      </c>
      <c r="M49" s="112">
        <v>52</v>
      </c>
      <c r="N49" s="88">
        <f>O49+P49+Q49+R49</f>
        <v>13995825.6</v>
      </c>
      <c r="O49" s="33">
        <v>0</v>
      </c>
      <c r="P49" s="33">
        <v>0</v>
      </c>
      <c r="Q49" s="33">
        <v>0</v>
      </c>
      <c r="R49" s="91">
        <v>13995825.6</v>
      </c>
      <c r="S49" s="88">
        <f t="shared" si="3"/>
        <v>7212.8559059987629</v>
      </c>
      <c r="T49" s="87">
        <f>1085.8*12932/K49</f>
        <v>7236.4283652855074</v>
      </c>
      <c r="U49" s="109" t="s">
        <v>101</v>
      </c>
    </row>
    <row r="50" spans="1:21" ht="10.5" customHeight="1" x14ac:dyDescent="0.25">
      <c r="A50" s="36">
        <v>8</v>
      </c>
      <c r="B50" s="36" t="s">
        <v>58</v>
      </c>
      <c r="C50" s="36" t="s">
        <v>59</v>
      </c>
      <c r="D50" s="104" t="s">
        <v>76</v>
      </c>
      <c r="E50" s="104" t="s">
        <v>69</v>
      </c>
      <c r="F50" s="79" t="s">
        <v>112</v>
      </c>
      <c r="G50" s="46"/>
      <c r="H50" s="39"/>
      <c r="I50" s="107">
        <v>1954</v>
      </c>
      <c r="J50" s="90">
        <f>K50+267.2</f>
        <v>2332.1</v>
      </c>
      <c r="K50" s="90">
        <f>L50+142.6</f>
        <v>2064.9</v>
      </c>
      <c r="L50" s="90">
        <f>0.6+1921.7</f>
        <v>1922.3</v>
      </c>
      <c r="M50" s="112">
        <v>73</v>
      </c>
      <c r="N50" s="88">
        <f>O50+P50+Q50+R50</f>
        <v>15216076.800000001</v>
      </c>
      <c r="O50" s="33">
        <v>0</v>
      </c>
      <c r="P50" s="33">
        <v>0</v>
      </c>
      <c r="Q50" s="33">
        <v>0</v>
      </c>
      <c r="R50" s="91">
        <v>15216076.800000001</v>
      </c>
      <c r="S50" s="88">
        <f>N50/K50</f>
        <v>7368.9170419875054</v>
      </c>
      <c r="T50" s="87">
        <f>1182.4*12932/K50</f>
        <v>7405.1028136955783</v>
      </c>
      <c r="U50" s="109" t="s">
        <v>101</v>
      </c>
    </row>
    <row r="51" spans="1:21" ht="10.5" customHeight="1" x14ac:dyDescent="0.25">
      <c r="A51" s="36">
        <v>9</v>
      </c>
      <c r="B51" s="36" t="s">
        <v>58</v>
      </c>
      <c r="C51" s="36" t="s">
        <v>59</v>
      </c>
      <c r="D51" s="104" t="s">
        <v>76</v>
      </c>
      <c r="E51" s="104" t="s">
        <v>69</v>
      </c>
      <c r="F51" s="79" t="s">
        <v>95</v>
      </c>
      <c r="G51" s="46"/>
      <c r="H51" s="39"/>
      <c r="I51" s="107">
        <v>1954</v>
      </c>
      <c r="J51" s="121">
        <f>K51+730.7</f>
        <v>2823.7</v>
      </c>
      <c r="K51" s="121">
        <f>1871.1+221.9</f>
        <v>2093</v>
      </c>
      <c r="L51" s="121">
        <v>1871.1</v>
      </c>
      <c r="M51" s="178">
        <v>60</v>
      </c>
      <c r="N51" s="88">
        <f t="shared" si="2"/>
        <v>16707916</v>
      </c>
      <c r="O51" s="33">
        <v>0</v>
      </c>
      <c r="P51" s="33">
        <v>0</v>
      </c>
      <c r="Q51" s="33">
        <v>0</v>
      </c>
      <c r="R51" s="91">
        <v>16707916</v>
      </c>
      <c r="S51" s="88">
        <f t="shared" si="3"/>
        <v>7982.7596751075016</v>
      </c>
      <c r="T51" s="87">
        <f>1300.5*12932/K51</f>
        <v>8035.3874820831343</v>
      </c>
      <c r="U51" s="109" t="s">
        <v>101</v>
      </c>
    </row>
    <row r="52" spans="1:21" ht="10.5" customHeight="1" x14ac:dyDescent="0.25">
      <c r="A52" s="36">
        <v>10</v>
      </c>
      <c r="B52" s="36" t="s">
        <v>58</v>
      </c>
      <c r="C52" s="36" t="s">
        <v>59</v>
      </c>
      <c r="D52" s="51" t="s">
        <v>76</v>
      </c>
      <c r="E52" s="35" t="s">
        <v>69</v>
      </c>
      <c r="F52" s="105" t="s">
        <v>96</v>
      </c>
      <c r="G52" s="106"/>
      <c r="H52" s="39"/>
      <c r="I52" s="107">
        <v>1957</v>
      </c>
      <c r="J52" s="121">
        <v>1449</v>
      </c>
      <c r="K52" s="121">
        <v>2627.9</v>
      </c>
      <c r="L52" s="179">
        <v>2055.6</v>
      </c>
      <c r="M52" s="177">
        <v>67</v>
      </c>
      <c r="N52" s="88">
        <f t="shared" si="2"/>
        <v>18823776</v>
      </c>
      <c r="O52" s="33">
        <v>0</v>
      </c>
      <c r="P52" s="33">
        <v>0</v>
      </c>
      <c r="Q52" s="33">
        <v>0</v>
      </c>
      <c r="R52" s="91">
        <v>18823776</v>
      </c>
      <c r="S52" s="88">
        <f t="shared" si="3"/>
        <v>7163.0488222535105</v>
      </c>
      <c r="T52" s="87">
        <f>1468*12932/K52</f>
        <v>7224.0861524411121</v>
      </c>
      <c r="U52" s="109" t="s">
        <v>101</v>
      </c>
    </row>
    <row r="53" spans="1:21" ht="10.5" customHeight="1" x14ac:dyDescent="0.25">
      <c r="A53" s="36">
        <v>11</v>
      </c>
      <c r="B53" s="36" t="s">
        <v>58</v>
      </c>
      <c r="C53" s="36" t="s">
        <v>59</v>
      </c>
      <c r="D53" s="51" t="s">
        <v>76</v>
      </c>
      <c r="E53" s="35" t="s">
        <v>69</v>
      </c>
      <c r="F53" s="35">
        <v>36</v>
      </c>
      <c r="G53" s="107"/>
      <c r="H53" s="39" t="s">
        <v>84</v>
      </c>
      <c r="I53" s="107">
        <v>1956</v>
      </c>
      <c r="J53" s="91">
        <v>2353.8000000000002</v>
      </c>
      <c r="K53" s="91">
        <v>2078</v>
      </c>
      <c r="L53" s="91">
        <v>2078</v>
      </c>
      <c r="M53" s="107">
        <v>56</v>
      </c>
      <c r="N53" s="88">
        <f t="shared" si="2"/>
        <v>11591956</v>
      </c>
      <c r="O53" s="33">
        <v>0</v>
      </c>
      <c r="P53" s="33">
        <v>0</v>
      </c>
      <c r="Q53" s="33">
        <v>0</v>
      </c>
      <c r="R53" s="91">
        <v>11591956</v>
      </c>
      <c r="S53" s="88">
        <f t="shared" si="3"/>
        <v>5578.4196342637151</v>
      </c>
      <c r="T53" s="87">
        <f>897*12932/K53</f>
        <v>5582.2925890279112</v>
      </c>
      <c r="U53" s="109" t="s">
        <v>101</v>
      </c>
    </row>
    <row r="54" spans="1:21" ht="10.5" customHeight="1" x14ac:dyDescent="0.25">
      <c r="A54" s="36">
        <v>12</v>
      </c>
      <c r="B54" s="36" t="s">
        <v>58</v>
      </c>
      <c r="C54" s="36" t="s">
        <v>59</v>
      </c>
      <c r="D54" s="104" t="s">
        <v>76</v>
      </c>
      <c r="E54" s="40" t="s">
        <v>69</v>
      </c>
      <c r="F54" s="40">
        <v>65</v>
      </c>
      <c r="G54" s="46"/>
      <c r="H54" s="39"/>
      <c r="I54" s="107">
        <v>1984</v>
      </c>
      <c r="J54" s="121">
        <v>1311.9</v>
      </c>
      <c r="K54" s="121">
        <v>1297.9000000000001</v>
      </c>
      <c r="L54" s="121">
        <v>1270.8</v>
      </c>
      <c r="M54" s="178">
        <v>69</v>
      </c>
      <c r="N54" s="88">
        <f t="shared" si="2"/>
        <v>7240232</v>
      </c>
      <c r="O54" s="33">
        <v>0</v>
      </c>
      <c r="P54" s="33">
        <v>0</v>
      </c>
      <c r="Q54" s="33">
        <v>0</v>
      </c>
      <c r="R54" s="91">
        <v>7240232</v>
      </c>
      <c r="S54" s="88">
        <f t="shared" si="3"/>
        <v>5578.4205254642111</v>
      </c>
      <c r="T54" s="87">
        <f>560*12932/K54</f>
        <v>5579.7210879112408</v>
      </c>
      <c r="U54" s="117" t="s">
        <v>101</v>
      </c>
    </row>
    <row r="55" spans="1:21" ht="11.25" customHeight="1" x14ac:dyDescent="0.25">
      <c r="A55" s="36">
        <v>13</v>
      </c>
      <c r="B55" s="36" t="s">
        <v>58</v>
      </c>
      <c r="C55" s="36" t="s">
        <v>59</v>
      </c>
      <c r="D55" s="104" t="s">
        <v>76</v>
      </c>
      <c r="E55" s="104" t="s">
        <v>69</v>
      </c>
      <c r="F55" s="40">
        <v>95</v>
      </c>
      <c r="G55" s="46"/>
      <c r="H55" s="39"/>
      <c r="I55" s="107">
        <v>1971</v>
      </c>
      <c r="J55" s="91">
        <v>11269.7</v>
      </c>
      <c r="K55" s="91">
        <v>11033.96</v>
      </c>
      <c r="L55" s="91">
        <v>10416.73</v>
      </c>
      <c r="M55" s="109">
        <v>570</v>
      </c>
      <c r="N55" s="88">
        <f t="shared" si="2"/>
        <v>32483380</v>
      </c>
      <c r="O55" s="33">
        <v>0</v>
      </c>
      <c r="P55" s="33">
        <v>0</v>
      </c>
      <c r="Q55" s="33">
        <v>0</v>
      </c>
      <c r="R55" s="91">
        <v>32483380</v>
      </c>
      <c r="S55" s="88">
        <f t="shared" si="3"/>
        <v>2943.9457819314193</v>
      </c>
      <c r="T55" s="87">
        <f>6*6933479/K55</f>
        <v>3770.2578222143279</v>
      </c>
      <c r="U55" s="109" t="s">
        <v>101</v>
      </c>
    </row>
    <row r="56" spans="1:21" ht="12" customHeight="1" x14ac:dyDescent="0.25">
      <c r="A56" s="36">
        <v>14</v>
      </c>
      <c r="B56" s="36" t="s">
        <v>58</v>
      </c>
      <c r="C56" s="36" t="s">
        <v>59</v>
      </c>
      <c r="D56" s="104" t="s">
        <v>76</v>
      </c>
      <c r="E56" s="104" t="s">
        <v>97</v>
      </c>
      <c r="F56" s="40">
        <v>10</v>
      </c>
      <c r="G56" s="46"/>
      <c r="H56" s="39"/>
      <c r="I56" s="107">
        <v>1978</v>
      </c>
      <c r="J56" s="90">
        <v>7208.4</v>
      </c>
      <c r="K56" s="90">
        <v>4222.8</v>
      </c>
      <c r="L56" s="90">
        <v>4103.7</v>
      </c>
      <c r="M56" s="112">
        <v>184</v>
      </c>
      <c r="N56" s="88">
        <f t="shared" si="2"/>
        <v>16577806.4</v>
      </c>
      <c r="O56" s="33">
        <v>0</v>
      </c>
      <c r="P56" s="33">
        <v>0</v>
      </c>
      <c r="Q56" s="33">
        <v>0</v>
      </c>
      <c r="R56" s="91">
        <v>16577806.4</v>
      </c>
      <c r="S56" s="88">
        <f>N56/K56</f>
        <v>3925.7853556881687</v>
      </c>
      <c r="T56" s="87">
        <f>1290.2*12932/K56</f>
        <v>3951.1382021407594</v>
      </c>
      <c r="U56" s="109" t="s">
        <v>101</v>
      </c>
    </row>
    <row r="57" spans="1:21" ht="9.75" customHeight="1" x14ac:dyDescent="0.25">
      <c r="A57" s="36">
        <v>15</v>
      </c>
      <c r="B57" s="36" t="s">
        <v>58</v>
      </c>
      <c r="C57" s="36" t="s">
        <v>59</v>
      </c>
      <c r="D57" s="51" t="s">
        <v>76</v>
      </c>
      <c r="E57" s="35" t="s">
        <v>97</v>
      </c>
      <c r="F57" s="35">
        <v>50</v>
      </c>
      <c r="G57" s="107"/>
      <c r="H57" s="39"/>
      <c r="I57" s="183">
        <v>1975</v>
      </c>
      <c r="J57" s="91">
        <v>4025.1</v>
      </c>
      <c r="K57" s="91">
        <v>3410.2</v>
      </c>
      <c r="L57" s="91">
        <v>2668.2</v>
      </c>
      <c r="M57" s="107">
        <v>124</v>
      </c>
      <c r="N57" s="88">
        <f t="shared" si="2"/>
        <v>13952876.800000001</v>
      </c>
      <c r="O57" s="33">
        <v>0</v>
      </c>
      <c r="P57" s="33">
        <v>0</v>
      </c>
      <c r="Q57" s="33">
        <v>0</v>
      </c>
      <c r="R57" s="91">
        <v>13952876.800000001</v>
      </c>
      <c r="S57" s="88">
        <f t="shared" si="3"/>
        <v>4091.5127558500972</v>
      </c>
      <c r="T57" s="87">
        <f>1082.4*12932/K57</f>
        <v>4104.6263562254417</v>
      </c>
      <c r="U57" s="109" t="s">
        <v>101</v>
      </c>
    </row>
    <row r="58" spans="1:21" ht="9.75" customHeight="1" x14ac:dyDescent="0.25">
      <c r="A58" s="36">
        <v>16</v>
      </c>
      <c r="B58" s="36" t="s">
        <v>58</v>
      </c>
      <c r="C58" s="36" t="s">
        <v>59</v>
      </c>
      <c r="D58" s="51" t="s">
        <v>76</v>
      </c>
      <c r="E58" s="35" t="s">
        <v>97</v>
      </c>
      <c r="F58" s="35">
        <v>63</v>
      </c>
      <c r="G58" s="107"/>
      <c r="H58" s="39"/>
      <c r="I58" s="107">
        <v>2000</v>
      </c>
      <c r="J58" s="91">
        <v>23065.91</v>
      </c>
      <c r="K58" s="91">
        <v>14723</v>
      </c>
      <c r="L58" s="91">
        <v>14295.3</v>
      </c>
      <c r="M58" s="107">
        <v>656</v>
      </c>
      <c r="N58" s="88">
        <f t="shared" si="2"/>
        <v>11014460</v>
      </c>
      <c r="O58" s="33">
        <v>0</v>
      </c>
      <c r="P58" s="33">
        <v>0</v>
      </c>
      <c r="Q58" s="33">
        <v>0</v>
      </c>
      <c r="R58" s="25">
        <v>11014460</v>
      </c>
      <c r="S58" s="88">
        <f t="shared" si="3"/>
        <v>748.11247707668269</v>
      </c>
      <c r="T58" s="87">
        <f>2*6933479/K58</f>
        <v>941.85682265842559</v>
      </c>
      <c r="U58" s="109" t="s">
        <v>101</v>
      </c>
    </row>
    <row r="59" spans="1:21" ht="9.75" customHeight="1" x14ac:dyDescent="0.25">
      <c r="A59" s="36">
        <v>17</v>
      </c>
      <c r="B59" s="36" t="s">
        <v>58</v>
      </c>
      <c r="C59" s="36" t="s">
        <v>59</v>
      </c>
      <c r="D59" s="104" t="s">
        <v>76</v>
      </c>
      <c r="E59" s="40" t="s">
        <v>97</v>
      </c>
      <c r="F59" s="40">
        <v>80</v>
      </c>
      <c r="G59" s="46"/>
      <c r="H59" s="39"/>
      <c r="I59" s="107">
        <v>1979</v>
      </c>
      <c r="J59" s="121">
        <v>5920.9</v>
      </c>
      <c r="K59" s="121">
        <v>4269.5</v>
      </c>
      <c r="L59" s="121">
        <v>4269.5</v>
      </c>
      <c r="M59" s="178">
        <v>245</v>
      </c>
      <c r="N59" s="88">
        <f t="shared" si="2"/>
        <v>15461137.6</v>
      </c>
      <c r="O59" s="33">
        <v>0</v>
      </c>
      <c r="P59" s="33">
        <v>0</v>
      </c>
      <c r="Q59" s="33">
        <v>0</v>
      </c>
      <c r="R59" s="91">
        <v>15461137.6</v>
      </c>
      <c r="S59" s="88">
        <f t="shared" si="3"/>
        <v>3621.2993558964749</v>
      </c>
      <c r="T59" s="87">
        <f>1201.8*12932/K59</f>
        <v>3640.1633914978333</v>
      </c>
      <c r="U59" s="109" t="s">
        <v>101</v>
      </c>
    </row>
    <row r="60" spans="1:21" ht="9.75" customHeight="1" x14ac:dyDescent="0.25">
      <c r="A60" s="36">
        <v>18</v>
      </c>
      <c r="B60" s="36" t="s">
        <v>58</v>
      </c>
      <c r="C60" s="36" t="s">
        <v>59</v>
      </c>
      <c r="D60" s="104" t="s">
        <v>98</v>
      </c>
      <c r="E60" s="40" t="s">
        <v>99</v>
      </c>
      <c r="F60" s="40">
        <v>1</v>
      </c>
      <c r="G60" s="46"/>
      <c r="H60" s="39"/>
      <c r="I60" s="107">
        <v>1978</v>
      </c>
      <c r="J60" s="91">
        <v>15226.9</v>
      </c>
      <c r="K60" s="91">
        <v>14862.3</v>
      </c>
      <c r="L60" s="91">
        <v>14591</v>
      </c>
      <c r="M60" s="110">
        <v>533</v>
      </c>
      <c r="N60" s="88">
        <f t="shared" si="2"/>
        <v>40437128</v>
      </c>
      <c r="O60" s="33">
        <v>0</v>
      </c>
      <c r="P60" s="33">
        <v>0</v>
      </c>
      <c r="Q60" s="33">
        <v>0</v>
      </c>
      <c r="R60" s="91">
        <v>40437128</v>
      </c>
      <c r="S60" s="88">
        <f t="shared" si="3"/>
        <v>2720.7853427800542</v>
      </c>
      <c r="T60" s="87">
        <f>3179*12932/K60</f>
        <v>2766.1148005355835</v>
      </c>
      <c r="U60" s="109" t="s">
        <v>101</v>
      </c>
    </row>
    <row r="61" spans="1:21" ht="9.75" customHeight="1" x14ac:dyDescent="0.25">
      <c r="A61" s="36">
        <v>19</v>
      </c>
      <c r="B61" s="36" t="s">
        <v>58</v>
      </c>
      <c r="C61" s="36" t="s">
        <v>59</v>
      </c>
      <c r="D61" s="104" t="s">
        <v>77</v>
      </c>
      <c r="E61" s="40" t="s">
        <v>100</v>
      </c>
      <c r="F61" s="40">
        <v>3</v>
      </c>
      <c r="G61" s="46"/>
      <c r="H61" s="39"/>
      <c r="I61" s="107">
        <v>1988</v>
      </c>
      <c r="J61" s="121">
        <v>7837.9</v>
      </c>
      <c r="K61" s="121">
        <v>6184.2</v>
      </c>
      <c r="L61" s="121">
        <v>6174.4</v>
      </c>
      <c r="M61" s="178">
        <v>350</v>
      </c>
      <c r="N61" s="88">
        <f t="shared" ref="N61" si="4">O61+P61+Q61+R61</f>
        <v>12607568.800000001</v>
      </c>
      <c r="O61" s="33">
        <v>0</v>
      </c>
      <c r="P61" s="33">
        <v>0</v>
      </c>
      <c r="Q61" s="33">
        <v>0</v>
      </c>
      <c r="R61" s="91">
        <v>12607568.800000001</v>
      </c>
      <c r="S61" s="88">
        <f t="shared" ref="S61" si="5">N61/K61</f>
        <v>2038.6741696581612</v>
      </c>
      <c r="T61" s="87">
        <f>975.9*12932/K61</f>
        <v>2040.7391093431647</v>
      </c>
      <c r="U61" s="117" t="s">
        <v>101</v>
      </c>
    </row>
    <row r="62" spans="1:21" ht="26.25" customHeight="1" x14ac:dyDescent="0.25">
      <c r="A62" s="222" t="s">
        <v>106</v>
      </c>
      <c r="B62" s="223"/>
      <c r="C62" s="223"/>
      <c r="D62" s="223"/>
      <c r="E62" s="223"/>
      <c r="F62" s="223"/>
      <c r="G62" s="223"/>
      <c r="H62" s="224"/>
      <c r="I62" s="69" t="s">
        <v>0</v>
      </c>
      <c r="J62" s="70">
        <f>SUM(J43:J61)</f>
        <v>111197.5</v>
      </c>
      <c r="K62" s="70">
        <f>SUM(K43:K61)</f>
        <v>91956.860000000015</v>
      </c>
      <c r="L62" s="70">
        <f>SUM(L43:L61)</f>
        <v>86292.12999999999</v>
      </c>
      <c r="M62" s="147">
        <v>4112</v>
      </c>
      <c r="N62" s="173">
        <f>SUM(N43:N61)</f>
        <v>301900286.80000001</v>
      </c>
      <c r="O62" s="71">
        <f>SUM(O43:O61)</f>
        <v>0</v>
      </c>
      <c r="P62" s="71">
        <f>SUM(P43:P61)</f>
        <v>0</v>
      </c>
      <c r="Q62" s="71">
        <f>SUM(Q43:Q61)</f>
        <v>0</v>
      </c>
      <c r="R62" s="173">
        <f>SUM(R43:R61)</f>
        <v>301900286.80000001</v>
      </c>
      <c r="S62" s="69" t="s">
        <v>0</v>
      </c>
      <c r="T62" s="69" t="s">
        <v>0</v>
      </c>
      <c r="U62" s="69" t="s">
        <v>0</v>
      </c>
    </row>
    <row r="63" spans="1:21" ht="21" customHeight="1" x14ac:dyDescent="0.25">
      <c r="A63" s="64"/>
      <c r="B63" s="65"/>
      <c r="C63" s="65"/>
      <c r="D63" s="65"/>
      <c r="E63" s="65"/>
      <c r="F63" s="63"/>
      <c r="G63" s="63"/>
      <c r="H63" s="63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7"/>
      <c r="T63" s="66"/>
      <c r="U63" s="68"/>
    </row>
    <row r="64" spans="1:21" ht="15.75" x14ac:dyDescent="0.25">
      <c r="A64" s="213">
        <v>2025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5"/>
    </row>
    <row r="65" spans="1:21" ht="11.25" customHeight="1" x14ac:dyDescent="0.25">
      <c r="A65" s="36">
        <v>1</v>
      </c>
      <c r="B65" s="75" t="s">
        <v>58</v>
      </c>
      <c r="C65" s="75" t="s">
        <v>59</v>
      </c>
      <c r="D65" s="40" t="s">
        <v>77</v>
      </c>
      <c r="E65" s="40" t="s">
        <v>110</v>
      </c>
      <c r="F65" s="40">
        <v>4</v>
      </c>
      <c r="G65" s="103"/>
      <c r="H65" s="39"/>
      <c r="I65" s="108">
        <v>1958</v>
      </c>
      <c r="J65" s="188">
        <v>613</v>
      </c>
      <c r="K65" s="181">
        <v>1324.4</v>
      </c>
      <c r="L65" s="181">
        <v>809</v>
      </c>
      <c r="M65" s="103">
        <v>52</v>
      </c>
      <c r="N65" s="88">
        <f>O65+P65+Q65+R65</f>
        <v>10840352</v>
      </c>
      <c r="O65" s="33">
        <v>0</v>
      </c>
      <c r="P65" s="33">
        <v>0</v>
      </c>
      <c r="Q65" s="33">
        <v>0</v>
      </c>
      <c r="R65" s="25">
        <v>10840352</v>
      </c>
      <c r="S65" s="88">
        <f>N65/K65</f>
        <v>8185.1041981274529</v>
      </c>
      <c r="T65" s="87">
        <f>839*12932/K65</f>
        <v>8192.3497432799759</v>
      </c>
      <c r="U65" s="109" t="s">
        <v>103</v>
      </c>
    </row>
    <row r="66" spans="1:21" ht="11.25" customHeight="1" x14ac:dyDescent="0.25">
      <c r="A66" s="36">
        <v>2</v>
      </c>
      <c r="B66" s="75" t="s">
        <v>58</v>
      </c>
      <c r="C66" s="75" t="s">
        <v>59</v>
      </c>
      <c r="D66" s="40" t="s">
        <v>77</v>
      </c>
      <c r="E66" s="40" t="s">
        <v>114</v>
      </c>
      <c r="F66" s="40">
        <v>3</v>
      </c>
      <c r="G66" s="103"/>
      <c r="H66" s="39"/>
      <c r="I66" s="108">
        <v>1980</v>
      </c>
      <c r="J66" s="189">
        <v>11751.1</v>
      </c>
      <c r="K66" s="193">
        <v>9634.2000000000007</v>
      </c>
      <c r="L66" s="189">
        <v>5392.9</v>
      </c>
      <c r="M66" s="182">
        <v>453</v>
      </c>
      <c r="N66" s="88">
        <f>O66+P66+Q66+R66</f>
        <v>19485692.800000001</v>
      </c>
      <c r="O66" s="33">
        <v>0</v>
      </c>
      <c r="P66" s="33">
        <v>0</v>
      </c>
      <c r="Q66" s="33">
        <v>0</v>
      </c>
      <c r="R66" s="25">
        <v>19485692.800000001</v>
      </c>
      <c r="S66" s="88">
        <f>N66/K66</f>
        <v>2022.5543169126652</v>
      </c>
      <c r="T66" s="185">
        <f>1520.4*12932/K66</f>
        <v>2040.8350252226442</v>
      </c>
      <c r="U66" s="109" t="s">
        <v>103</v>
      </c>
    </row>
    <row r="67" spans="1:21" s="195" customFormat="1" ht="11.25" customHeight="1" x14ac:dyDescent="0.25">
      <c r="A67" s="36">
        <v>3</v>
      </c>
      <c r="B67" s="75" t="s">
        <v>58</v>
      </c>
      <c r="C67" s="75" t="s">
        <v>59</v>
      </c>
      <c r="D67" s="40" t="s">
        <v>77</v>
      </c>
      <c r="E67" s="40" t="s">
        <v>102</v>
      </c>
      <c r="F67" s="40">
        <v>17</v>
      </c>
      <c r="G67" s="103"/>
      <c r="H67" s="39"/>
      <c r="I67" s="108">
        <v>1971</v>
      </c>
      <c r="J67" s="189">
        <v>12284.7</v>
      </c>
      <c r="K67" s="189">
        <v>10894.7</v>
      </c>
      <c r="L67" s="189">
        <v>7169.9</v>
      </c>
      <c r="M67" s="182">
        <v>479</v>
      </c>
      <c r="N67" s="88">
        <f>O67+P67+Q67+R67</f>
        <v>32483380</v>
      </c>
      <c r="O67" s="33">
        <v>0</v>
      </c>
      <c r="P67" s="33">
        <v>0</v>
      </c>
      <c r="Q67" s="33">
        <v>0</v>
      </c>
      <c r="R67" s="25">
        <v>32483380</v>
      </c>
      <c r="S67" s="88">
        <f>N67/K67</f>
        <v>2981.5763628186182</v>
      </c>
      <c r="T67" s="87">
        <f>6*6933479/K67</f>
        <v>3818.4506227798834</v>
      </c>
      <c r="U67" s="109" t="s">
        <v>103</v>
      </c>
    </row>
    <row r="68" spans="1:21" ht="9.75" customHeight="1" x14ac:dyDescent="0.25">
      <c r="A68" s="36">
        <v>4</v>
      </c>
      <c r="B68" s="36" t="s">
        <v>58</v>
      </c>
      <c r="C68" s="36" t="s">
        <v>59</v>
      </c>
      <c r="D68" s="104" t="s">
        <v>77</v>
      </c>
      <c r="E68" s="40" t="s">
        <v>68</v>
      </c>
      <c r="F68" s="40">
        <v>26</v>
      </c>
      <c r="G68" s="36"/>
      <c r="H68" s="39"/>
      <c r="I68" s="107">
        <v>1969</v>
      </c>
      <c r="J68" s="189">
        <v>3474.7</v>
      </c>
      <c r="K68" s="189">
        <v>3474.7</v>
      </c>
      <c r="L68" s="189">
        <v>2198</v>
      </c>
      <c r="M68" s="182">
        <v>137</v>
      </c>
      <c r="N68" s="88">
        <f t="shared" ref="N68:N73" si="6">O68+P68+Q68+R68</f>
        <v>12217240</v>
      </c>
      <c r="O68" s="33">
        <v>0</v>
      </c>
      <c r="P68" s="33">
        <v>0</v>
      </c>
      <c r="Q68" s="33">
        <v>0</v>
      </c>
      <c r="R68" s="91">
        <v>12217240</v>
      </c>
      <c r="S68" s="88">
        <f>N68/K68</f>
        <v>3516.0560623938759</v>
      </c>
      <c r="T68" s="186">
        <f>945*12932/K68</f>
        <v>3517.0633435980085</v>
      </c>
      <c r="U68" s="120" t="s">
        <v>103</v>
      </c>
    </row>
    <row r="69" spans="1:21" ht="10.5" customHeight="1" x14ac:dyDescent="0.25">
      <c r="A69" s="36">
        <v>5</v>
      </c>
      <c r="B69" s="36" t="s">
        <v>58</v>
      </c>
      <c r="C69" s="36" t="s">
        <v>59</v>
      </c>
      <c r="D69" s="104" t="s">
        <v>77</v>
      </c>
      <c r="E69" s="40" t="s">
        <v>68</v>
      </c>
      <c r="F69" s="40">
        <v>42</v>
      </c>
      <c r="G69" s="36"/>
      <c r="H69" s="39"/>
      <c r="I69" s="107">
        <v>1989</v>
      </c>
      <c r="J69" s="96">
        <v>7495.4</v>
      </c>
      <c r="K69" s="96">
        <v>5519.9</v>
      </c>
      <c r="L69" s="96">
        <v>5519.9</v>
      </c>
      <c r="M69" s="107">
        <v>316</v>
      </c>
      <c r="N69" s="88">
        <f t="shared" si="6"/>
        <v>11454267.199999999</v>
      </c>
      <c r="O69" s="33">
        <v>0</v>
      </c>
      <c r="P69" s="33">
        <v>0</v>
      </c>
      <c r="Q69" s="33">
        <v>0</v>
      </c>
      <c r="R69" s="91">
        <v>11454267.199999999</v>
      </c>
      <c r="S69" s="88">
        <f t="shared" ref="S69:S73" si="7">N69/K69</f>
        <v>2075.0859979347451</v>
      </c>
      <c r="T69" s="186">
        <f>888*12932/K69</f>
        <v>2080.402905849744</v>
      </c>
      <c r="U69" s="119" t="s">
        <v>103</v>
      </c>
    </row>
    <row r="70" spans="1:21" ht="10.5" customHeight="1" x14ac:dyDescent="0.25">
      <c r="A70" s="36">
        <v>6</v>
      </c>
      <c r="B70" s="36" t="s">
        <v>58</v>
      </c>
      <c r="C70" s="75" t="s">
        <v>59</v>
      </c>
      <c r="D70" s="40" t="s">
        <v>76</v>
      </c>
      <c r="E70" s="104" t="s">
        <v>69</v>
      </c>
      <c r="F70" s="79" t="s">
        <v>117</v>
      </c>
      <c r="G70" s="36"/>
      <c r="H70" s="39"/>
      <c r="I70" s="107">
        <v>1956</v>
      </c>
      <c r="J70" s="189">
        <v>2656.8</v>
      </c>
      <c r="K70" s="189">
        <v>2387.6999999999998</v>
      </c>
      <c r="L70" s="189">
        <v>2220.9</v>
      </c>
      <c r="M70" s="182">
        <v>78</v>
      </c>
      <c r="N70" s="88">
        <f t="shared" si="6"/>
        <v>18339970.399999999</v>
      </c>
      <c r="O70" s="33">
        <v>0</v>
      </c>
      <c r="P70" s="33">
        <v>0</v>
      </c>
      <c r="Q70" s="33">
        <v>0</v>
      </c>
      <c r="R70" s="91">
        <v>18339970.399999999</v>
      </c>
      <c r="S70" s="88">
        <f t="shared" si="7"/>
        <v>7681.0195585710098</v>
      </c>
      <c r="T70" s="186">
        <f>1429.7*12932/K70</f>
        <v>7743.3850148678657</v>
      </c>
      <c r="U70" s="120" t="s">
        <v>103</v>
      </c>
    </row>
    <row r="71" spans="1:21" ht="10.5" customHeight="1" x14ac:dyDescent="0.25">
      <c r="A71" s="36">
        <v>7</v>
      </c>
      <c r="B71" s="36" t="s">
        <v>58</v>
      </c>
      <c r="C71" s="75" t="s">
        <v>59</v>
      </c>
      <c r="D71" s="40" t="s">
        <v>76</v>
      </c>
      <c r="E71" s="104" t="s">
        <v>69</v>
      </c>
      <c r="F71" s="79" t="s">
        <v>118</v>
      </c>
      <c r="G71" s="36"/>
      <c r="H71" s="39"/>
      <c r="I71" s="107">
        <v>1958</v>
      </c>
      <c r="J71" s="191">
        <v>3019.6</v>
      </c>
      <c r="K71" s="191">
        <v>2706</v>
      </c>
      <c r="L71" s="191">
        <v>2595.1</v>
      </c>
      <c r="M71" s="184">
        <v>113</v>
      </c>
      <c r="N71" s="88">
        <f t="shared" si="6"/>
        <v>15552088</v>
      </c>
      <c r="O71" s="33">
        <v>0</v>
      </c>
      <c r="P71" s="33">
        <v>0</v>
      </c>
      <c r="Q71" s="33">
        <v>0</v>
      </c>
      <c r="R71" s="91">
        <v>15552088</v>
      </c>
      <c r="S71" s="88">
        <f t="shared" si="7"/>
        <v>5747.2609016999259</v>
      </c>
      <c r="T71" s="186">
        <f>1209*12932/K71</f>
        <v>5777.8226164079824</v>
      </c>
      <c r="U71" s="120" t="s">
        <v>103</v>
      </c>
    </row>
    <row r="72" spans="1:21" ht="10.5" customHeight="1" x14ac:dyDescent="0.25">
      <c r="A72" s="36">
        <v>8</v>
      </c>
      <c r="B72" s="36" t="s">
        <v>58</v>
      </c>
      <c r="C72" s="75" t="s">
        <v>59</v>
      </c>
      <c r="D72" s="40" t="s">
        <v>76</v>
      </c>
      <c r="E72" s="104" t="s">
        <v>69</v>
      </c>
      <c r="F72" s="79" t="s">
        <v>113</v>
      </c>
      <c r="G72" s="36"/>
      <c r="H72" s="39"/>
      <c r="I72" s="107">
        <v>1969</v>
      </c>
      <c r="J72" s="189">
        <v>2349.9</v>
      </c>
      <c r="K72" s="193">
        <v>1977.9</v>
      </c>
      <c r="L72" s="189">
        <v>1239.2</v>
      </c>
      <c r="M72" s="182">
        <v>81</v>
      </c>
      <c r="N72" s="88">
        <f t="shared" si="6"/>
        <v>5647230</v>
      </c>
      <c r="O72" s="33">
        <v>0</v>
      </c>
      <c r="P72" s="33">
        <v>0</v>
      </c>
      <c r="Q72" s="33">
        <v>0</v>
      </c>
      <c r="R72" s="91">
        <v>5647230</v>
      </c>
      <c r="S72" s="88">
        <f t="shared" si="7"/>
        <v>2855.1645684817231</v>
      </c>
      <c r="T72" s="187">
        <f>1*6933479/K72</f>
        <v>3505.4749987360328</v>
      </c>
      <c r="U72" s="120" t="s">
        <v>103</v>
      </c>
    </row>
    <row r="73" spans="1:21" ht="10.5" customHeight="1" x14ac:dyDescent="0.25">
      <c r="A73" s="36">
        <v>9</v>
      </c>
      <c r="B73" s="36" t="s">
        <v>58</v>
      </c>
      <c r="C73" s="75" t="s">
        <v>59</v>
      </c>
      <c r="D73" s="40" t="s">
        <v>77</v>
      </c>
      <c r="E73" s="104" t="s">
        <v>119</v>
      </c>
      <c r="F73" s="79" t="s">
        <v>120</v>
      </c>
      <c r="G73" s="36"/>
      <c r="H73" s="39"/>
      <c r="I73" s="107">
        <v>1955</v>
      </c>
      <c r="J73" s="189">
        <v>2302.8000000000002</v>
      </c>
      <c r="K73" s="189">
        <v>2040.8</v>
      </c>
      <c r="L73" s="189">
        <v>2040.8</v>
      </c>
      <c r="M73" s="182">
        <v>311</v>
      </c>
      <c r="N73" s="88">
        <f t="shared" si="6"/>
        <v>15728936</v>
      </c>
      <c r="O73" s="33">
        <v>0</v>
      </c>
      <c r="P73" s="33">
        <v>0</v>
      </c>
      <c r="Q73" s="33">
        <v>0</v>
      </c>
      <c r="R73" s="91">
        <v>15728936</v>
      </c>
      <c r="S73" s="88">
        <f t="shared" si="7"/>
        <v>7707.2402979223834</v>
      </c>
      <c r="T73" s="186">
        <f>1223*12932/K73</f>
        <v>7749.8216385731084</v>
      </c>
      <c r="U73" s="120" t="s">
        <v>103</v>
      </c>
    </row>
    <row r="74" spans="1:21" ht="9.75" customHeight="1" x14ac:dyDescent="0.25">
      <c r="A74" s="36">
        <v>10</v>
      </c>
      <c r="B74" s="36" t="s">
        <v>58</v>
      </c>
      <c r="C74" s="36" t="s">
        <v>59</v>
      </c>
      <c r="D74" s="118" t="s">
        <v>76</v>
      </c>
      <c r="E74" s="74" t="s">
        <v>97</v>
      </c>
      <c r="F74" s="74">
        <v>8</v>
      </c>
      <c r="G74" s="36"/>
      <c r="H74" s="39"/>
      <c r="I74" s="107">
        <v>1986</v>
      </c>
      <c r="J74" s="90">
        <v>20344.599999999999</v>
      </c>
      <c r="K74" s="90">
        <v>17381.3</v>
      </c>
      <c r="L74" s="90">
        <v>13436.7</v>
      </c>
      <c r="M74" s="112">
        <v>558</v>
      </c>
      <c r="N74" s="88">
        <f t="shared" ref="N74" si="8">O74+P74+Q74+R74</f>
        <v>33754800</v>
      </c>
      <c r="O74" s="33">
        <v>0</v>
      </c>
      <c r="P74" s="33">
        <v>0</v>
      </c>
      <c r="Q74" s="33">
        <v>0</v>
      </c>
      <c r="R74" s="91">
        <v>33754800</v>
      </c>
      <c r="S74" s="88">
        <f t="shared" ref="S74" si="9">N74/K74</f>
        <v>1942.0181459384512</v>
      </c>
      <c r="T74" s="91">
        <f>2650*12932/K74</f>
        <v>1971.6476903338646</v>
      </c>
      <c r="U74" s="119" t="s">
        <v>103</v>
      </c>
    </row>
    <row r="75" spans="1:21" ht="9.75" customHeight="1" x14ac:dyDescent="0.25">
      <c r="A75" s="36">
        <v>11</v>
      </c>
      <c r="B75" s="36" t="s">
        <v>58</v>
      </c>
      <c r="C75" s="36" t="s">
        <v>59</v>
      </c>
      <c r="D75" s="51" t="s">
        <v>76</v>
      </c>
      <c r="E75" s="35" t="s">
        <v>97</v>
      </c>
      <c r="F75" s="35">
        <v>63</v>
      </c>
      <c r="G75" s="107"/>
      <c r="H75" s="39"/>
      <c r="I75" s="107">
        <v>2000</v>
      </c>
      <c r="J75" s="91">
        <v>23065.91</v>
      </c>
      <c r="K75" s="91">
        <v>14723</v>
      </c>
      <c r="L75" s="91">
        <v>14295.3</v>
      </c>
      <c r="M75" s="107">
        <v>656</v>
      </c>
      <c r="N75" s="88">
        <f t="shared" ref="N75:N77" si="10">O75+P75+Q75+R75</f>
        <v>16381690</v>
      </c>
      <c r="O75" s="33">
        <v>0</v>
      </c>
      <c r="P75" s="33">
        <v>0</v>
      </c>
      <c r="Q75" s="33">
        <v>0</v>
      </c>
      <c r="R75" s="25">
        <v>16381690</v>
      </c>
      <c r="S75" s="88">
        <f t="shared" ref="S75:S77" si="11">N75/K75</f>
        <v>1112.6597840114107</v>
      </c>
      <c r="T75" s="87">
        <f>3*6933479/K75</f>
        <v>1412.7852339876383</v>
      </c>
      <c r="U75" s="109" t="s">
        <v>103</v>
      </c>
    </row>
    <row r="76" spans="1:21" ht="9.75" customHeight="1" x14ac:dyDescent="0.25">
      <c r="A76" s="36">
        <v>12</v>
      </c>
      <c r="B76" s="75" t="s">
        <v>58</v>
      </c>
      <c r="C76" s="75" t="s">
        <v>59</v>
      </c>
      <c r="D76" s="40" t="s">
        <v>77</v>
      </c>
      <c r="E76" s="104" t="s">
        <v>121</v>
      </c>
      <c r="F76" s="79" t="s">
        <v>122</v>
      </c>
      <c r="G76" s="107"/>
      <c r="H76" s="39"/>
      <c r="I76" s="107">
        <v>1955</v>
      </c>
      <c r="J76" s="190">
        <v>2320</v>
      </c>
      <c r="K76" s="189">
        <v>2039.3</v>
      </c>
      <c r="L76" s="189">
        <v>1708.7</v>
      </c>
      <c r="M76" s="182">
        <v>55</v>
      </c>
      <c r="N76" s="88">
        <f t="shared" si="10"/>
        <v>14756272</v>
      </c>
      <c r="O76" s="33">
        <v>0</v>
      </c>
      <c r="P76" s="33">
        <v>0</v>
      </c>
      <c r="Q76" s="33">
        <v>0</v>
      </c>
      <c r="R76" s="25">
        <v>14756272</v>
      </c>
      <c r="S76" s="88">
        <f t="shared" si="11"/>
        <v>7235.9495905457761</v>
      </c>
      <c r="T76" s="87">
        <f>1146*12932/K76</f>
        <v>7267.2348354827636</v>
      </c>
      <c r="U76" s="117" t="s">
        <v>103</v>
      </c>
    </row>
    <row r="77" spans="1:21" ht="9.75" customHeight="1" x14ac:dyDescent="0.25">
      <c r="A77" s="36">
        <v>13</v>
      </c>
      <c r="B77" s="75" t="s">
        <v>58</v>
      </c>
      <c r="C77" s="75" t="s">
        <v>59</v>
      </c>
      <c r="D77" s="40" t="s">
        <v>77</v>
      </c>
      <c r="E77" s="104" t="s">
        <v>71</v>
      </c>
      <c r="F77" s="79" t="s">
        <v>115</v>
      </c>
      <c r="G77" s="107"/>
      <c r="H77" s="39"/>
      <c r="I77" s="107">
        <v>1964</v>
      </c>
      <c r="J77" s="90">
        <v>2188.1999999999998</v>
      </c>
      <c r="K77" s="90">
        <v>2188.1999999999998</v>
      </c>
      <c r="L77" s="90">
        <v>2022.7</v>
      </c>
      <c r="M77" s="112">
        <v>53</v>
      </c>
      <c r="N77" s="88">
        <f t="shared" si="10"/>
        <v>10898459.199999999</v>
      </c>
      <c r="O77" s="33">
        <v>0</v>
      </c>
      <c r="P77" s="33">
        <v>0</v>
      </c>
      <c r="Q77" s="33">
        <v>0</v>
      </c>
      <c r="R77" s="25">
        <v>10898459.199999999</v>
      </c>
      <c r="S77" s="88">
        <f t="shared" si="11"/>
        <v>4980.5589982634128</v>
      </c>
      <c r="T77" s="87">
        <f>843*12932/K77</f>
        <v>4982.0290649849194</v>
      </c>
      <c r="U77" s="117" t="s">
        <v>103</v>
      </c>
    </row>
    <row r="78" spans="1:21" ht="23.25" customHeight="1" x14ac:dyDescent="0.25">
      <c r="A78" s="222" t="s">
        <v>107</v>
      </c>
      <c r="B78" s="223"/>
      <c r="C78" s="223"/>
      <c r="D78" s="223"/>
      <c r="E78" s="223"/>
      <c r="F78" s="223"/>
      <c r="G78" s="223"/>
      <c r="H78" s="224"/>
      <c r="I78" s="69" t="s">
        <v>0</v>
      </c>
      <c r="J78" s="70">
        <f t="shared" ref="J78:R78" si="12">SUM(J65:J77)</f>
        <v>93866.71</v>
      </c>
      <c r="K78" s="70">
        <f t="shared" si="12"/>
        <v>76292.100000000006</v>
      </c>
      <c r="L78" s="70">
        <f t="shared" si="12"/>
        <v>60649.099999999991</v>
      </c>
      <c r="M78" s="116">
        <f t="shared" si="12"/>
        <v>3342</v>
      </c>
      <c r="N78" s="173">
        <f t="shared" si="12"/>
        <v>217540377.59999999</v>
      </c>
      <c r="O78" s="71">
        <f t="shared" si="12"/>
        <v>0</v>
      </c>
      <c r="P78" s="71">
        <f t="shared" si="12"/>
        <v>0</v>
      </c>
      <c r="Q78" s="71">
        <f t="shared" si="12"/>
        <v>0</v>
      </c>
      <c r="R78" s="173">
        <f t="shared" si="12"/>
        <v>217540377.59999999</v>
      </c>
      <c r="S78" s="69" t="s">
        <v>0</v>
      </c>
      <c r="T78" s="69" t="s">
        <v>0</v>
      </c>
      <c r="U78" s="69" t="s">
        <v>0</v>
      </c>
    </row>
    <row r="79" spans="1:21" ht="15.75" x14ac:dyDescent="0.25">
      <c r="A79" s="221" t="s">
        <v>36</v>
      </c>
      <c r="B79" s="221"/>
      <c r="C79" s="221"/>
      <c r="D79" s="221"/>
      <c r="E79" s="221"/>
      <c r="F79" s="221"/>
      <c r="G79" s="221"/>
      <c r="H79" s="221"/>
      <c r="I79" s="221"/>
      <c r="J79" s="13"/>
      <c r="K79" s="13"/>
      <c r="L79" s="13"/>
      <c r="M79" s="13"/>
      <c r="N79" s="13"/>
      <c r="O79" s="13"/>
      <c r="P79" s="13"/>
      <c r="Q79" s="13"/>
      <c r="R79" s="13"/>
      <c r="S79" s="29"/>
      <c r="T79" s="13"/>
      <c r="U79" s="13"/>
    </row>
  </sheetData>
  <mergeCells count="31">
    <mergeCell ref="A42:U42"/>
    <mergeCell ref="A64:U64"/>
    <mergeCell ref="A79:I79"/>
    <mergeCell ref="A62:H62"/>
    <mergeCell ref="A78:H78"/>
    <mergeCell ref="A9:U9"/>
    <mergeCell ref="A40:H40"/>
    <mergeCell ref="B4:H4"/>
    <mergeCell ref="H5:H7"/>
    <mergeCell ref="G5:G7"/>
    <mergeCell ref="M4:M6"/>
    <mergeCell ref="N4:R4"/>
    <mergeCell ref="F5:F7"/>
    <mergeCell ref="E5:E7"/>
    <mergeCell ref="D5:D7"/>
    <mergeCell ref="C5:C7"/>
    <mergeCell ref="K5:K6"/>
    <mergeCell ref="L5:L6"/>
    <mergeCell ref="N5:N6"/>
    <mergeCell ref="Q1:U1"/>
    <mergeCell ref="Q2:U2"/>
    <mergeCell ref="A3:U3"/>
    <mergeCell ref="A4:A7"/>
    <mergeCell ref="J4:J6"/>
    <mergeCell ref="K4:L4"/>
    <mergeCell ref="S4:S6"/>
    <mergeCell ref="T4:T6"/>
    <mergeCell ref="O5:R5"/>
    <mergeCell ref="B5:B7"/>
    <mergeCell ref="U4:U7"/>
    <mergeCell ref="I4:I7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93" fitToWidth="0" fitToHeight="0" orientation="landscape" r:id="rId1"/>
  <ignoredErrors>
    <ignoredError sqref="F38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stopIfTrue="1" id="{851E04E6-BF3A-4DD6-9C87-1152BA8650A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13" stopIfTrue="1" id="{0B2AB321-86A5-42D3-937F-0119AC4B995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12" stopIfTrue="1" id="{E724D364-D389-4F5F-9DCF-1EB61124A11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D20:D25</xm:sqref>
        </x14:conditionalFormatting>
        <x14:conditionalFormatting xmlns:xm="http://schemas.microsoft.com/office/excel/2006/main">
          <x14:cfRule type="expression" priority="11" stopIfTrue="1" id="{D4A7C6F5-916B-44F4-B610-D9432EC2903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0" stopIfTrue="1" id="{31037B20-0462-4032-8797-FE5EA29EB51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J34:J36 J12 J28:J29 J10 J21:J25 J17:J19</xm:sqref>
        </x14:conditionalFormatting>
        <x14:conditionalFormatting xmlns:xm="http://schemas.microsoft.com/office/excel/2006/main">
          <x14:cfRule type="expression" priority="9" stopIfTrue="1" id="{261DF4D0-F175-4C23-BC50-25487418B42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K34:K36 K12 K28:K29 K10 K21:K25 K17:K19</xm:sqref>
        </x14:conditionalFormatting>
        <x14:conditionalFormatting xmlns:xm="http://schemas.microsoft.com/office/excel/2006/main">
          <x14:cfRule type="expression" priority="7" stopIfTrue="1" id="{39EDD641-62A9-4E4A-BD1B-EF5C9CFCEA4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K46 K49</xm:sqref>
        </x14:conditionalFormatting>
        <x14:conditionalFormatting xmlns:xm="http://schemas.microsoft.com/office/excel/2006/main">
          <x14:cfRule type="expression" priority="8" stopIfTrue="1" id="{3B8D144D-4810-466F-9F95-D5277828422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K47 K43</xm:sqref>
        </x14:conditionalFormatting>
        <x14:conditionalFormatting xmlns:xm="http://schemas.microsoft.com/office/excel/2006/main">
          <x14:cfRule type="expression" priority="6" stopIfTrue="1" id="{E7594F96-D1C7-4EA2-A22E-0AB7262ADB1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5" stopIfTrue="1" id="{7B55606A-AD72-46EC-96FB-48CC48F57AD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3" stopIfTrue="1" id="{DAEBA4B8-7B47-42C7-B221-A6D3B7F0B8B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" stopIfTrue="1" id="{8B370D58-2856-45B7-9A07-74F4A1D1706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K65:K66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E79"/>
  <sheetViews>
    <sheetView view="pageBreakPreview" zoomScale="85" zoomScaleNormal="100" zoomScaleSheetLayoutView="85" workbookViewId="0">
      <selection activeCell="Y2" sqref="Y2:AE2"/>
    </sheetView>
  </sheetViews>
  <sheetFormatPr defaultRowHeight="15" x14ac:dyDescent="0.25"/>
  <cols>
    <col min="1" max="1" width="5.28515625" customWidth="1"/>
    <col min="2" max="2" width="7.140625" style="4" customWidth="1"/>
    <col min="3" max="3" width="10.140625" customWidth="1"/>
    <col min="4" max="4" width="9.85546875" customWidth="1"/>
    <col min="5" max="5" width="16.5703125" customWidth="1"/>
    <col min="6" max="6" width="5.7109375" customWidth="1"/>
    <col min="7" max="8" width="2.85546875" customWidth="1"/>
    <col min="9" max="9" width="11.7109375" customWidth="1"/>
    <col min="10" max="11" width="4.28515625" customWidth="1"/>
    <col min="12" max="12" width="4.7109375" customWidth="1"/>
    <col min="13" max="13" width="4.5703125" customWidth="1"/>
    <col min="14" max="15" width="4.85546875" customWidth="1"/>
    <col min="16" max="16" width="3.7109375" customWidth="1"/>
    <col min="17" max="17" width="11.42578125" customWidth="1"/>
    <col min="18" max="18" width="8" customWidth="1"/>
    <col min="19" max="19" width="22.85546875" customWidth="1"/>
    <col min="20" max="20" width="5.42578125" customWidth="1"/>
    <col min="21" max="21" width="4.7109375" customWidth="1"/>
    <col min="22" max="22" width="6.85546875" customWidth="1"/>
    <col min="23" max="23" width="10.5703125" customWidth="1"/>
    <col min="24" max="24" width="7.85546875" customWidth="1"/>
    <col min="25" max="25" width="13.28515625" customWidth="1"/>
    <col min="26" max="26" width="6" customWidth="1"/>
    <col min="27" max="27" width="6.28515625" customWidth="1"/>
    <col min="28" max="28" width="5" customWidth="1"/>
    <col min="29" max="29" width="10.140625" customWidth="1"/>
    <col min="30" max="30" width="4.28515625" customWidth="1"/>
    <col min="31" max="31" width="5.7109375" customWidth="1"/>
  </cols>
  <sheetData>
    <row r="1" spans="1:31" ht="35.25" customHeight="1" x14ac:dyDescent="0.25">
      <c r="Y1" s="226" t="s">
        <v>86</v>
      </c>
      <c r="Z1" s="226"/>
      <c r="AA1" s="226"/>
      <c r="AB1" s="226"/>
      <c r="AC1" s="226"/>
      <c r="AD1" s="226"/>
      <c r="AE1" s="226"/>
    </row>
    <row r="2" spans="1:31" ht="18" customHeight="1" x14ac:dyDescent="0.25"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44" t="s">
        <v>128</v>
      </c>
      <c r="Z2" s="244"/>
      <c r="AA2" s="244"/>
      <c r="AB2" s="244"/>
      <c r="AC2" s="244"/>
      <c r="AD2" s="244"/>
      <c r="AE2" s="244"/>
    </row>
    <row r="3" spans="1:31" ht="27" customHeight="1" x14ac:dyDescent="0.25">
      <c r="A3" s="227" t="s">
        <v>104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</row>
    <row r="4" spans="1:31" ht="40.5" customHeight="1" x14ac:dyDescent="0.25">
      <c r="A4" s="228" t="s">
        <v>21</v>
      </c>
      <c r="B4" s="229" t="s">
        <v>35</v>
      </c>
      <c r="C4" s="229"/>
      <c r="D4" s="229"/>
      <c r="E4" s="229"/>
      <c r="F4" s="229"/>
      <c r="G4" s="229"/>
      <c r="H4" s="229"/>
      <c r="I4" s="228" t="s">
        <v>41</v>
      </c>
      <c r="J4" s="228" t="s">
        <v>28</v>
      </c>
      <c r="K4" s="228"/>
      <c r="L4" s="228"/>
      <c r="M4" s="228"/>
      <c r="N4" s="228"/>
      <c r="O4" s="228"/>
      <c r="P4" s="225" t="s">
        <v>50</v>
      </c>
      <c r="Q4" s="225"/>
      <c r="R4" s="225" t="s">
        <v>29</v>
      </c>
      <c r="S4" s="225"/>
      <c r="T4" s="228" t="s">
        <v>57</v>
      </c>
      <c r="U4" s="228"/>
      <c r="V4" s="228"/>
      <c r="W4" s="228"/>
      <c r="X4" s="225" t="s">
        <v>31</v>
      </c>
      <c r="Y4" s="225"/>
      <c r="Z4" s="225" t="s">
        <v>56</v>
      </c>
      <c r="AA4" s="225" t="s">
        <v>32</v>
      </c>
      <c r="AB4" s="225"/>
      <c r="AC4" s="225" t="s">
        <v>51</v>
      </c>
      <c r="AD4" s="225" t="s">
        <v>52</v>
      </c>
      <c r="AE4" s="225" t="s">
        <v>43</v>
      </c>
    </row>
    <row r="5" spans="1:31" ht="30" customHeight="1" x14ac:dyDescent="0.25">
      <c r="A5" s="228"/>
      <c r="B5" s="230" t="s">
        <v>23</v>
      </c>
      <c r="C5" s="230" t="s">
        <v>34</v>
      </c>
      <c r="D5" s="230" t="s">
        <v>33</v>
      </c>
      <c r="E5" s="230" t="s">
        <v>24</v>
      </c>
      <c r="F5" s="230" t="s">
        <v>25</v>
      </c>
      <c r="G5" s="230" t="s">
        <v>26</v>
      </c>
      <c r="H5" s="230" t="s">
        <v>27</v>
      </c>
      <c r="I5" s="228"/>
      <c r="J5" s="228" t="s">
        <v>55</v>
      </c>
      <c r="K5" s="228"/>
      <c r="L5" s="225" t="s">
        <v>46</v>
      </c>
      <c r="M5" s="225" t="s">
        <v>47</v>
      </c>
      <c r="N5" s="225" t="s">
        <v>48</v>
      </c>
      <c r="O5" s="225" t="s">
        <v>49</v>
      </c>
      <c r="P5" s="225"/>
      <c r="Q5" s="225"/>
      <c r="R5" s="225"/>
      <c r="S5" s="225"/>
      <c r="T5" s="228"/>
      <c r="U5" s="228"/>
      <c r="V5" s="228"/>
      <c r="W5" s="228"/>
      <c r="X5" s="225"/>
      <c r="Y5" s="225"/>
      <c r="Z5" s="225"/>
      <c r="AA5" s="225"/>
      <c r="AB5" s="225"/>
      <c r="AC5" s="225"/>
      <c r="AD5" s="225"/>
      <c r="AE5" s="225"/>
    </row>
    <row r="6" spans="1:31" ht="78" customHeight="1" x14ac:dyDescent="0.25">
      <c r="A6" s="228"/>
      <c r="B6" s="230"/>
      <c r="C6" s="230"/>
      <c r="D6" s="230"/>
      <c r="E6" s="230"/>
      <c r="F6" s="230"/>
      <c r="G6" s="230"/>
      <c r="H6" s="230"/>
      <c r="I6" s="228"/>
      <c r="J6" s="156" t="s">
        <v>44</v>
      </c>
      <c r="K6" s="156" t="s">
        <v>45</v>
      </c>
      <c r="L6" s="225"/>
      <c r="M6" s="225"/>
      <c r="N6" s="225"/>
      <c r="O6" s="225"/>
      <c r="P6" s="225"/>
      <c r="Q6" s="225"/>
      <c r="R6" s="225"/>
      <c r="S6" s="225"/>
      <c r="T6" s="225" t="s">
        <v>30</v>
      </c>
      <c r="U6" s="225"/>
      <c r="V6" s="225" t="s">
        <v>37</v>
      </c>
      <c r="W6" s="225"/>
      <c r="X6" s="225"/>
      <c r="Y6" s="225"/>
      <c r="Z6" s="225"/>
      <c r="AA6" s="225"/>
      <c r="AB6" s="225"/>
      <c r="AC6" s="225"/>
      <c r="AD6" s="225"/>
      <c r="AE6" s="225"/>
    </row>
    <row r="7" spans="1:31" ht="15.75" customHeight="1" x14ac:dyDescent="0.25">
      <c r="A7" s="228"/>
      <c r="B7" s="230"/>
      <c r="C7" s="230"/>
      <c r="D7" s="230"/>
      <c r="E7" s="230"/>
      <c r="F7" s="230"/>
      <c r="G7" s="230"/>
      <c r="H7" s="230"/>
      <c r="I7" s="18" t="s">
        <v>53</v>
      </c>
      <c r="J7" s="18" t="s">
        <v>53</v>
      </c>
      <c r="K7" s="18" t="s">
        <v>53</v>
      </c>
      <c r="L7" s="18" t="s">
        <v>53</v>
      </c>
      <c r="M7" s="18" t="s">
        <v>53</v>
      </c>
      <c r="N7" s="18" t="s">
        <v>53</v>
      </c>
      <c r="O7" s="18" t="s">
        <v>53</v>
      </c>
      <c r="P7" s="160" t="s">
        <v>20</v>
      </c>
      <c r="Q7" s="18" t="s">
        <v>53</v>
      </c>
      <c r="R7" s="160" t="s">
        <v>19</v>
      </c>
      <c r="S7" s="18" t="s">
        <v>53</v>
      </c>
      <c r="T7" s="160" t="s">
        <v>19</v>
      </c>
      <c r="U7" s="18" t="s">
        <v>53</v>
      </c>
      <c r="V7" s="160" t="s">
        <v>19</v>
      </c>
      <c r="W7" s="18" t="s">
        <v>53</v>
      </c>
      <c r="X7" s="160" t="s">
        <v>19</v>
      </c>
      <c r="Y7" s="18" t="s">
        <v>53</v>
      </c>
      <c r="Z7" s="18" t="s">
        <v>53</v>
      </c>
      <c r="AA7" s="160" t="s">
        <v>18</v>
      </c>
      <c r="AB7" s="18" t="s">
        <v>53</v>
      </c>
      <c r="AC7" s="18" t="s">
        <v>53</v>
      </c>
      <c r="AD7" s="18" t="s">
        <v>53</v>
      </c>
      <c r="AE7" s="18" t="s">
        <v>53</v>
      </c>
    </row>
    <row r="8" spans="1:31" ht="12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</row>
    <row r="9" spans="1:31" ht="11.25" customHeight="1" x14ac:dyDescent="0.25">
      <c r="A9" s="231" t="s">
        <v>88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3"/>
    </row>
    <row r="10" spans="1:31" ht="15" customHeight="1" x14ac:dyDescent="0.25">
      <c r="A10" s="75">
        <v>1</v>
      </c>
      <c r="B10" s="75" t="s">
        <v>58</v>
      </c>
      <c r="C10" s="75" t="s">
        <v>59</v>
      </c>
      <c r="D10" s="37" t="s">
        <v>75</v>
      </c>
      <c r="E10" s="74" t="s">
        <v>60</v>
      </c>
      <c r="F10" s="74">
        <v>6</v>
      </c>
      <c r="G10" s="75"/>
      <c r="H10" s="76"/>
      <c r="I10" s="86">
        <f t="shared" ref="I10:I39" si="0">J10+K10+L10+M10+N10+O10+Q10+S10+U10+W10+Y10+Z10+AB10+AC10+AD10+AE10</f>
        <v>15617517.310000001</v>
      </c>
      <c r="J10" s="76"/>
      <c r="K10" s="76"/>
      <c r="L10" s="76"/>
      <c r="M10" s="76"/>
      <c r="N10" s="76"/>
      <c r="O10" s="76"/>
      <c r="P10" s="76"/>
      <c r="Q10" s="76"/>
      <c r="R10" s="150">
        <v>1455.99</v>
      </c>
      <c r="S10" s="24">
        <v>15349048.800000001</v>
      </c>
      <c r="T10" s="76"/>
      <c r="U10" s="76"/>
      <c r="V10" s="77"/>
      <c r="W10" s="77"/>
      <c r="X10" s="77"/>
      <c r="Y10" s="77"/>
      <c r="Z10" s="76"/>
      <c r="AA10" s="76"/>
      <c r="AB10" s="76"/>
      <c r="AC10" s="24">
        <v>268468.51</v>
      </c>
      <c r="AD10" s="76"/>
      <c r="AE10" s="78"/>
    </row>
    <row r="11" spans="1:31" ht="13.5" customHeight="1" x14ac:dyDescent="0.25">
      <c r="A11" s="75">
        <v>2</v>
      </c>
      <c r="B11" s="75" t="s">
        <v>58</v>
      </c>
      <c r="C11" s="75" t="s">
        <v>59</v>
      </c>
      <c r="D11" s="40" t="s">
        <v>75</v>
      </c>
      <c r="E11" s="40" t="s">
        <v>60</v>
      </c>
      <c r="F11" s="85" t="s">
        <v>117</v>
      </c>
      <c r="G11" s="75"/>
      <c r="H11" s="76"/>
      <c r="I11" s="86">
        <f t="shared" si="0"/>
        <v>8472032.3900000006</v>
      </c>
      <c r="J11" s="76"/>
      <c r="K11" s="76"/>
      <c r="L11" s="76"/>
      <c r="M11" s="76"/>
      <c r="N11" s="76"/>
      <c r="O11" s="76"/>
      <c r="P11" s="76"/>
      <c r="Q11" s="76"/>
      <c r="R11" s="151">
        <v>785.56</v>
      </c>
      <c r="S11" s="25">
        <v>8281327.2000000002</v>
      </c>
      <c r="T11" s="76"/>
      <c r="U11" s="76"/>
      <c r="V11" s="80"/>
      <c r="W11" s="80"/>
      <c r="X11" s="80"/>
      <c r="Y11" s="80"/>
      <c r="Z11" s="76"/>
      <c r="AA11" s="76"/>
      <c r="AB11" s="76"/>
      <c r="AC11" s="25">
        <v>190705.19</v>
      </c>
      <c r="AD11" s="76"/>
      <c r="AE11" s="78"/>
    </row>
    <row r="12" spans="1:31" ht="15" customHeight="1" x14ac:dyDescent="0.25">
      <c r="A12" s="75">
        <v>3</v>
      </c>
      <c r="B12" s="75" t="s">
        <v>58</v>
      </c>
      <c r="C12" s="75" t="s">
        <v>59</v>
      </c>
      <c r="D12" s="41" t="s">
        <v>75</v>
      </c>
      <c r="E12" s="41" t="s">
        <v>61</v>
      </c>
      <c r="F12" s="81" t="s">
        <v>123</v>
      </c>
      <c r="G12" s="75"/>
      <c r="H12" s="76"/>
      <c r="I12" s="86">
        <f t="shared" si="0"/>
        <v>11540393.41</v>
      </c>
      <c r="J12" s="76"/>
      <c r="K12" s="76"/>
      <c r="L12" s="76"/>
      <c r="M12" s="76"/>
      <c r="N12" s="76"/>
      <c r="O12" s="76"/>
      <c r="P12" s="76"/>
      <c r="Q12" s="76"/>
      <c r="R12" s="152">
        <v>1082.1199999999999</v>
      </c>
      <c r="S12" s="26">
        <v>11407743.6</v>
      </c>
      <c r="T12" s="76"/>
      <c r="U12" s="76"/>
      <c r="V12" s="82"/>
      <c r="W12" s="82"/>
      <c r="X12" s="82"/>
      <c r="Y12" s="82"/>
      <c r="Z12" s="76"/>
      <c r="AA12" s="76"/>
      <c r="AB12" s="76"/>
      <c r="AC12" s="26">
        <v>132649.81</v>
      </c>
      <c r="AD12" s="76"/>
      <c r="AE12" s="78"/>
    </row>
    <row r="13" spans="1:31" ht="12.75" customHeight="1" x14ac:dyDescent="0.25">
      <c r="A13" s="75">
        <v>4</v>
      </c>
      <c r="B13" s="75" t="s">
        <v>58</v>
      </c>
      <c r="C13" s="75" t="s">
        <v>59</v>
      </c>
      <c r="D13" s="44" t="s">
        <v>75</v>
      </c>
      <c r="E13" s="83" t="s">
        <v>61</v>
      </c>
      <c r="F13" s="40">
        <v>61</v>
      </c>
      <c r="G13" s="75"/>
      <c r="H13" s="76"/>
      <c r="I13" s="86">
        <f t="shared" si="0"/>
        <v>9544180.4299999997</v>
      </c>
      <c r="J13" s="76"/>
      <c r="K13" s="76"/>
      <c r="L13" s="76"/>
      <c r="M13" s="76"/>
      <c r="N13" s="76"/>
      <c r="O13" s="76"/>
      <c r="P13" s="76"/>
      <c r="Q13" s="76"/>
      <c r="R13" s="151">
        <v>895.31</v>
      </c>
      <c r="S13" s="25">
        <v>9438333.5999999996</v>
      </c>
      <c r="T13" s="76"/>
      <c r="U13" s="76"/>
      <c r="V13" s="80"/>
      <c r="W13" s="80"/>
      <c r="X13" s="80"/>
      <c r="Y13" s="80"/>
      <c r="Z13" s="76"/>
      <c r="AA13" s="76"/>
      <c r="AB13" s="76"/>
      <c r="AC13" s="25">
        <v>105846.83</v>
      </c>
      <c r="AD13" s="76"/>
      <c r="AE13" s="78"/>
    </row>
    <row r="14" spans="1:31" ht="14.25" customHeight="1" x14ac:dyDescent="0.25">
      <c r="A14" s="75">
        <v>5</v>
      </c>
      <c r="B14" s="75" t="s">
        <v>58</v>
      </c>
      <c r="C14" s="75" t="s">
        <v>59</v>
      </c>
      <c r="D14" s="44" t="s">
        <v>75</v>
      </c>
      <c r="E14" s="83" t="s">
        <v>62</v>
      </c>
      <c r="F14" s="40">
        <v>1</v>
      </c>
      <c r="G14" s="75"/>
      <c r="H14" s="76"/>
      <c r="I14" s="86">
        <f t="shared" si="0"/>
        <v>599373.6</v>
      </c>
      <c r="J14" s="76"/>
      <c r="K14" s="76"/>
      <c r="L14" s="76"/>
      <c r="M14" s="76"/>
      <c r="N14" s="76"/>
      <c r="O14" s="76"/>
      <c r="P14" s="76"/>
      <c r="Q14" s="76"/>
      <c r="R14" s="151"/>
      <c r="S14" s="25"/>
      <c r="T14" s="76"/>
      <c r="U14" s="76"/>
      <c r="V14" s="80">
        <v>215.6</v>
      </c>
      <c r="W14" s="80">
        <v>599373.6</v>
      </c>
      <c r="X14" s="80"/>
      <c r="Y14" s="80"/>
      <c r="Z14" s="76"/>
      <c r="AA14" s="76"/>
      <c r="AB14" s="76"/>
      <c r="AC14" s="25"/>
      <c r="AD14" s="76"/>
      <c r="AE14" s="78"/>
    </row>
    <row r="15" spans="1:31" ht="12.75" customHeight="1" x14ac:dyDescent="0.25">
      <c r="A15" s="75">
        <v>6</v>
      </c>
      <c r="B15" s="75" t="s">
        <v>58</v>
      </c>
      <c r="C15" s="75" t="s">
        <v>59</v>
      </c>
      <c r="D15" s="40" t="s">
        <v>75</v>
      </c>
      <c r="E15" s="40" t="s">
        <v>63</v>
      </c>
      <c r="F15" s="40">
        <v>15</v>
      </c>
      <c r="G15" s="75"/>
      <c r="H15" s="76"/>
      <c r="I15" s="86">
        <f t="shared" si="0"/>
        <v>11989587.24</v>
      </c>
      <c r="J15" s="76"/>
      <c r="K15" s="76"/>
      <c r="L15" s="76"/>
      <c r="M15" s="76"/>
      <c r="N15" s="76"/>
      <c r="O15" s="76"/>
      <c r="P15" s="76"/>
      <c r="Q15" s="76"/>
      <c r="R15" s="151">
        <v>1118.1300000000001</v>
      </c>
      <c r="S15" s="25">
        <v>11787280.800000001</v>
      </c>
      <c r="T15" s="76"/>
      <c r="U15" s="76"/>
      <c r="V15" s="80"/>
      <c r="W15" s="80"/>
      <c r="X15" s="80"/>
      <c r="Y15" s="80"/>
      <c r="Z15" s="76"/>
      <c r="AA15" s="76"/>
      <c r="AB15" s="76"/>
      <c r="AC15" s="25">
        <v>202306.44</v>
      </c>
      <c r="AD15" s="76"/>
      <c r="AE15" s="78"/>
    </row>
    <row r="16" spans="1:31" ht="15.75" customHeight="1" x14ac:dyDescent="0.25">
      <c r="A16" s="75">
        <v>7</v>
      </c>
      <c r="B16" s="75" t="s">
        <v>58</v>
      </c>
      <c r="C16" s="75" t="s">
        <v>59</v>
      </c>
      <c r="D16" s="44" t="s">
        <v>75</v>
      </c>
      <c r="E16" s="83" t="s">
        <v>64</v>
      </c>
      <c r="F16" s="40">
        <v>5</v>
      </c>
      <c r="G16" s="75"/>
      <c r="H16" s="76"/>
      <c r="I16" s="86">
        <f t="shared" si="0"/>
        <v>8263192.3600000003</v>
      </c>
      <c r="J16" s="76"/>
      <c r="K16" s="76"/>
      <c r="L16" s="76"/>
      <c r="M16" s="76"/>
      <c r="N16" s="76"/>
      <c r="O16" s="76"/>
      <c r="P16" s="76"/>
      <c r="Q16" s="76"/>
      <c r="R16" s="151">
        <v>777.06</v>
      </c>
      <c r="S16" s="25">
        <v>8191729.2000000002</v>
      </c>
      <c r="T16" s="76"/>
      <c r="U16" s="76"/>
      <c r="V16" s="80"/>
      <c r="W16" s="80"/>
      <c r="X16" s="80"/>
      <c r="Y16" s="80"/>
      <c r="Z16" s="76"/>
      <c r="AA16" s="76"/>
      <c r="AB16" s="76"/>
      <c r="AC16" s="25">
        <v>71463.16</v>
      </c>
      <c r="AD16" s="76"/>
      <c r="AE16" s="78"/>
    </row>
    <row r="17" spans="1:31" ht="14.25" customHeight="1" x14ac:dyDescent="0.25">
      <c r="A17" s="75">
        <v>8</v>
      </c>
      <c r="B17" s="75" t="s">
        <v>58</v>
      </c>
      <c r="C17" s="75" t="s">
        <v>59</v>
      </c>
      <c r="D17" s="44" t="s">
        <v>75</v>
      </c>
      <c r="E17" s="40" t="s">
        <v>64</v>
      </c>
      <c r="F17" s="40">
        <v>17</v>
      </c>
      <c r="G17" s="75"/>
      <c r="H17" s="76"/>
      <c r="I17" s="86">
        <f t="shared" si="0"/>
        <v>12369951.729999999</v>
      </c>
      <c r="J17" s="76"/>
      <c r="K17" s="76"/>
      <c r="L17" s="76"/>
      <c r="M17" s="76"/>
      <c r="N17" s="76"/>
      <c r="O17" s="76"/>
      <c r="P17" s="76"/>
      <c r="Q17" s="76"/>
      <c r="R17" s="151">
        <v>1160.51</v>
      </c>
      <c r="S17" s="25">
        <v>12234133.199999999</v>
      </c>
      <c r="T17" s="76"/>
      <c r="U17" s="76"/>
      <c r="V17" s="80"/>
      <c r="W17" s="80"/>
      <c r="X17" s="80"/>
      <c r="Y17" s="80"/>
      <c r="Z17" s="76"/>
      <c r="AA17" s="76"/>
      <c r="AB17" s="76"/>
      <c r="AC17" s="25">
        <v>135818.53</v>
      </c>
      <c r="AD17" s="76"/>
      <c r="AE17" s="78"/>
    </row>
    <row r="18" spans="1:31" ht="12" customHeight="1" x14ac:dyDescent="0.25">
      <c r="A18" s="75">
        <v>9</v>
      </c>
      <c r="B18" s="75" t="s">
        <v>58</v>
      </c>
      <c r="C18" s="75" t="s">
        <v>59</v>
      </c>
      <c r="D18" s="44" t="s">
        <v>75</v>
      </c>
      <c r="E18" s="40" t="s">
        <v>64</v>
      </c>
      <c r="F18" s="40">
        <v>21</v>
      </c>
      <c r="G18" s="75"/>
      <c r="H18" s="76"/>
      <c r="I18" s="86">
        <f t="shared" si="0"/>
        <v>9178614.5999999996</v>
      </c>
      <c r="J18" s="76"/>
      <c r="K18" s="76"/>
      <c r="L18" s="76"/>
      <c r="M18" s="76"/>
      <c r="N18" s="76"/>
      <c r="O18" s="76"/>
      <c r="P18" s="76"/>
      <c r="Q18" s="76"/>
      <c r="R18" s="151">
        <v>856.61</v>
      </c>
      <c r="S18" s="25">
        <v>9030379.1999999993</v>
      </c>
      <c r="T18" s="76"/>
      <c r="U18" s="76"/>
      <c r="V18" s="80"/>
      <c r="W18" s="80"/>
      <c r="X18" s="80"/>
      <c r="Y18" s="80"/>
      <c r="Z18" s="76"/>
      <c r="AA18" s="76"/>
      <c r="AB18" s="76"/>
      <c r="AC18" s="25">
        <v>148235.4</v>
      </c>
      <c r="AD18" s="76"/>
      <c r="AE18" s="78"/>
    </row>
    <row r="19" spans="1:31" ht="15" customHeight="1" x14ac:dyDescent="0.25">
      <c r="A19" s="75">
        <v>10</v>
      </c>
      <c r="B19" s="75" t="s">
        <v>58</v>
      </c>
      <c r="C19" s="75" t="s">
        <v>59</v>
      </c>
      <c r="D19" s="44" t="s">
        <v>75</v>
      </c>
      <c r="E19" s="40" t="s">
        <v>65</v>
      </c>
      <c r="F19" s="40">
        <v>11</v>
      </c>
      <c r="G19" s="75"/>
      <c r="H19" s="76"/>
      <c r="I19" s="86">
        <f t="shared" si="0"/>
        <v>4736167.3999999994</v>
      </c>
      <c r="J19" s="76"/>
      <c r="K19" s="76"/>
      <c r="L19" s="76"/>
      <c r="M19" s="76"/>
      <c r="N19" s="76"/>
      <c r="O19" s="76"/>
      <c r="P19" s="76"/>
      <c r="Q19" s="76"/>
      <c r="R19" s="151">
        <v>413.61</v>
      </c>
      <c r="S19" s="25">
        <v>4360261.84</v>
      </c>
      <c r="T19" s="76"/>
      <c r="U19" s="76"/>
      <c r="V19" s="82">
        <v>103.18</v>
      </c>
      <c r="W19" s="80">
        <v>286847.5</v>
      </c>
      <c r="X19" s="80"/>
      <c r="Y19" s="80"/>
      <c r="Z19" s="76"/>
      <c r="AA19" s="76"/>
      <c r="AB19" s="76"/>
      <c r="AC19" s="25">
        <v>89058.06</v>
      </c>
      <c r="AD19" s="76"/>
      <c r="AE19" s="78"/>
    </row>
    <row r="20" spans="1:31" ht="14.25" customHeight="1" x14ac:dyDescent="0.25">
      <c r="A20" s="75">
        <v>11</v>
      </c>
      <c r="B20" s="75" t="s">
        <v>58</v>
      </c>
      <c r="C20" s="75" t="s">
        <v>59</v>
      </c>
      <c r="D20" s="44" t="s">
        <v>75</v>
      </c>
      <c r="E20" s="34" t="s">
        <v>66</v>
      </c>
      <c r="F20" s="40">
        <v>45</v>
      </c>
      <c r="G20" s="75"/>
      <c r="H20" s="76"/>
      <c r="I20" s="86">
        <f t="shared" si="0"/>
        <v>12757386.140000001</v>
      </c>
      <c r="J20" s="76"/>
      <c r="K20" s="76"/>
      <c r="L20" s="76"/>
      <c r="M20" s="76"/>
      <c r="N20" s="76"/>
      <c r="O20" s="76"/>
      <c r="P20" s="76"/>
      <c r="Q20" s="76"/>
      <c r="R20" s="151">
        <v>1190.8900000000001</v>
      </c>
      <c r="S20" s="25">
        <v>12554367.83</v>
      </c>
      <c r="T20" s="76"/>
      <c r="U20" s="76"/>
      <c r="V20" s="82"/>
      <c r="W20" s="80"/>
      <c r="X20" s="80"/>
      <c r="Y20" s="80"/>
      <c r="Z20" s="76"/>
      <c r="AA20" s="76"/>
      <c r="AB20" s="76"/>
      <c r="AC20" s="25">
        <v>203018.31</v>
      </c>
      <c r="AD20" s="76"/>
      <c r="AE20" s="78"/>
    </row>
    <row r="21" spans="1:31" ht="14.25" customHeight="1" x14ac:dyDescent="0.25">
      <c r="A21" s="75">
        <v>12</v>
      </c>
      <c r="B21" s="75" t="s">
        <v>58</v>
      </c>
      <c r="C21" s="75" t="s">
        <v>59</v>
      </c>
      <c r="D21" s="44" t="s">
        <v>75</v>
      </c>
      <c r="E21" s="40" t="s">
        <v>67</v>
      </c>
      <c r="F21" s="40">
        <v>12</v>
      </c>
      <c r="G21" s="75"/>
      <c r="H21" s="76"/>
      <c r="I21" s="86">
        <f t="shared" si="0"/>
        <v>8069094.79</v>
      </c>
      <c r="J21" s="76"/>
      <c r="K21" s="76"/>
      <c r="L21" s="76"/>
      <c r="M21" s="76"/>
      <c r="N21" s="76"/>
      <c r="O21" s="76"/>
      <c r="P21" s="76"/>
      <c r="Q21" s="76"/>
      <c r="R21" s="151">
        <v>752.9</v>
      </c>
      <c r="S21" s="25">
        <v>7937088.7199999997</v>
      </c>
      <c r="T21" s="76"/>
      <c r="U21" s="76"/>
      <c r="V21" s="82"/>
      <c r="W21" s="80"/>
      <c r="X21" s="80"/>
      <c r="Y21" s="80"/>
      <c r="Z21" s="76"/>
      <c r="AA21" s="76"/>
      <c r="AB21" s="76"/>
      <c r="AC21" s="25">
        <v>132006.07</v>
      </c>
      <c r="AD21" s="76"/>
      <c r="AE21" s="78"/>
    </row>
    <row r="22" spans="1:31" ht="13.5" customHeight="1" x14ac:dyDescent="0.25">
      <c r="A22" s="75">
        <v>13</v>
      </c>
      <c r="B22" s="75" t="s">
        <v>58</v>
      </c>
      <c r="C22" s="75" t="s">
        <v>59</v>
      </c>
      <c r="D22" s="44" t="s">
        <v>75</v>
      </c>
      <c r="E22" s="40" t="s">
        <v>67</v>
      </c>
      <c r="F22" s="40">
        <v>14</v>
      </c>
      <c r="G22" s="75"/>
      <c r="H22" s="76" t="s">
        <v>84</v>
      </c>
      <c r="I22" s="86">
        <f t="shared" si="0"/>
        <v>599373.6</v>
      </c>
      <c r="J22" s="76"/>
      <c r="K22" s="76"/>
      <c r="L22" s="76"/>
      <c r="M22" s="76"/>
      <c r="N22" s="76"/>
      <c r="O22" s="76"/>
      <c r="P22" s="76"/>
      <c r="Q22" s="76"/>
      <c r="R22" s="151"/>
      <c r="S22" s="25"/>
      <c r="T22" s="76"/>
      <c r="U22" s="76"/>
      <c r="V22" s="82">
        <v>215.6</v>
      </c>
      <c r="W22" s="80">
        <v>599373.6</v>
      </c>
      <c r="X22" s="80"/>
      <c r="Y22" s="80"/>
      <c r="Z22" s="76"/>
      <c r="AA22" s="76"/>
      <c r="AB22" s="76"/>
      <c r="AC22" s="25"/>
      <c r="AD22" s="76"/>
      <c r="AE22" s="78"/>
    </row>
    <row r="23" spans="1:31" ht="14.25" customHeight="1" x14ac:dyDescent="0.25">
      <c r="A23" s="75">
        <v>14</v>
      </c>
      <c r="B23" s="75" t="s">
        <v>58</v>
      </c>
      <c r="C23" s="75" t="s">
        <v>59</v>
      </c>
      <c r="D23" s="44" t="s">
        <v>75</v>
      </c>
      <c r="E23" s="40" t="s">
        <v>67</v>
      </c>
      <c r="F23" s="40">
        <v>16</v>
      </c>
      <c r="G23" s="75"/>
      <c r="H23" s="76"/>
      <c r="I23" s="86">
        <f t="shared" si="0"/>
        <v>757321.2</v>
      </c>
      <c r="J23" s="76"/>
      <c r="K23" s="76"/>
      <c r="L23" s="76"/>
      <c r="M23" s="76"/>
      <c r="N23" s="76"/>
      <c r="O23" s="76"/>
      <c r="P23" s="76"/>
      <c r="Q23" s="76"/>
      <c r="R23" s="151"/>
      <c r="S23" s="25"/>
      <c r="T23" s="76"/>
      <c r="U23" s="76"/>
      <c r="V23" s="80">
        <v>272.42</v>
      </c>
      <c r="W23" s="80">
        <v>757321.2</v>
      </c>
      <c r="X23" s="80"/>
      <c r="Y23" s="80"/>
      <c r="Z23" s="76"/>
      <c r="AA23" s="76"/>
      <c r="AB23" s="76"/>
      <c r="AC23" s="25"/>
      <c r="AD23" s="76"/>
      <c r="AE23" s="78"/>
    </row>
    <row r="24" spans="1:31" ht="14.25" customHeight="1" x14ac:dyDescent="0.25">
      <c r="A24" s="75">
        <v>15</v>
      </c>
      <c r="B24" s="75" t="s">
        <v>58</v>
      </c>
      <c r="C24" s="75" t="s">
        <v>59</v>
      </c>
      <c r="D24" s="44" t="s">
        <v>75</v>
      </c>
      <c r="E24" s="40" t="s">
        <v>68</v>
      </c>
      <c r="F24" s="40">
        <v>43</v>
      </c>
      <c r="G24" s="75"/>
      <c r="H24" s="76"/>
      <c r="I24" s="86">
        <f t="shared" si="0"/>
        <v>890193.96</v>
      </c>
      <c r="J24" s="76"/>
      <c r="K24" s="76"/>
      <c r="L24" s="76"/>
      <c r="M24" s="76"/>
      <c r="N24" s="76"/>
      <c r="O24" s="76"/>
      <c r="P24" s="76"/>
      <c r="Q24" s="76"/>
      <c r="R24" s="151"/>
      <c r="S24" s="25"/>
      <c r="T24" s="76"/>
      <c r="U24" s="76"/>
      <c r="V24" s="80">
        <v>320.20999999999998</v>
      </c>
      <c r="W24" s="80">
        <v>890193.96</v>
      </c>
      <c r="X24" s="80"/>
      <c r="Y24" s="80"/>
      <c r="Z24" s="76"/>
      <c r="AA24" s="76"/>
      <c r="AB24" s="76"/>
      <c r="AC24" s="25"/>
      <c r="AD24" s="76"/>
      <c r="AE24" s="78"/>
    </row>
    <row r="25" spans="1:31" ht="13.5" customHeight="1" x14ac:dyDescent="0.25">
      <c r="A25" s="75">
        <v>16</v>
      </c>
      <c r="B25" s="75" t="s">
        <v>58</v>
      </c>
      <c r="C25" s="75" t="s">
        <v>59</v>
      </c>
      <c r="D25" s="44" t="s">
        <v>76</v>
      </c>
      <c r="E25" s="40" t="s">
        <v>69</v>
      </c>
      <c r="F25" s="79" t="s">
        <v>78</v>
      </c>
      <c r="G25" s="75"/>
      <c r="H25" s="76"/>
      <c r="I25" s="86">
        <f t="shared" si="0"/>
        <v>11466783.189999999</v>
      </c>
      <c r="J25" s="76"/>
      <c r="K25" s="76"/>
      <c r="L25" s="76"/>
      <c r="M25" s="76"/>
      <c r="N25" s="76"/>
      <c r="O25" s="76"/>
      <c r="P25" s="76"/>
      <c r="Q25" s="76"/>
      <c r="R25" s="151">
        <v>1071.44</v>
      </c>
      <c r="S25" s="25">
        <v>11295171.109999999</v>
      </c>
      <c r="T25" s="76"/>
      <c r="U25" s="76"/>
      <c r="V25" s="82"/>
      <c r="W25" s="80"/>
      <c r="X25" s="80"/>
      <c r="Y25" s="80"/>
      <c r="Z25" s="76"/>
      <c r="AA25" s="76"/>
      <c r="AB25" s="76"/>
      <c r="AC25" s="25">
        <v>171612.08</v>
      </c>
      <c r="AD25" s="76"/>
      <c r="AE25" s="78"/>
    </row>
    <row r="26" spans="1:31" ht="15" customHeight="1" x14ac:dyDescent="0.25">
      <c r="A26" s="75">
        <v>17</v>
      </c>
      <c r="B26" s="75" t="s">
        <v>58</v>
      </c>
      <c r="C26" s="75" t="s">
        <v>59</v>
      </c>
      <c r="D26" s="40" t="s">
        <v>76</v>
      </c>
      <c r="E26" s="40" t="s">
        <v>69</v>
      </c>
      <c r="F26" s="79" t="s">
        <v>79</v>
      </c>
      <c r="G26" s="75"/>
      <c r="H26" s="76"/>
      <c r="I26" s="86">
        <f t="shared" si="0"/>
        <v>9196876.9399999995</v>
      </c>
      <c r="J26" s="76"/>
      <c r="K26" s="76"/>
      <c r="L26" s="76"/>
      <c r="M26" s="76"/>
      <c r="N26" s="76"/>
      <c r="O26" s="76"/>
      <c r="P26" s="76"/>
      <c r="Q26" s="76"/>
      <c r="R26" s="151"/>
      <c r="S26" s="25"/>
      <c r="T26" s="76"/>
      <c r="U26" s="76"/>
      <c r="V26" s="82"/>
      <c r="W26" s="80"/>
      <c r="X26" s="80">
        <v>1519.13</v>
      </c>
      <c r="Y26" s="25">
        <v>9000824.9199999999</v>
      </c>
      <c r="Z26" s="76"/>
      <c r="AA26" s="76"/>
      <c r="AB26" s="76"/>
      <c r="AC26" s="25">
        <v>196052.02</v>
      </c>
      <c r="AD26" s="76"/>
      <c r="AE26" s="78"/>
    </row>
    <row r="27" spans="1:31" ht="13.5" customHeight="1" x14ac:dyDescent="0.25">
      <c r="A27" s="75">
        <v>18</v>
      </c>
      <c r="B27" s="75" t="s">
        <v>58</v>
      </c>
      <c r="C27" s="75" t="s">
        <v>59</v>
      </c>
      <c r="D27" s="40" t="s">
        <v>76</v>
      </c>
      <c r="E27" s="41" t="s">
        <v>69</v>
      </c>
      <c r="F27" s="84" t="s">
        <v>80</v>
      </c>
      <c r="G27" s="75"/>
      <c r="H27" s="76"/>
      <c r="I27" s="86">
        <f t="shared" si="0"/>
        <v>12367614.65</v>
      </c>
      <c r="J27" s="76"/>
      <c r="K27" s="76"/>
      <c r="L27" s="76"/>
      <c r="M27" s="76"/>
      <c r="N27" s="76"/>
      <c r="O27" s="76"/>
      <c r="P27" s="76"/>
      <c r="Q27" s="76"/>
      <c r="R27" s="152">
        <v>1154.8599999999999</v>
      </c>
      <c r="S27" s="26">
        <v>12174487.73</v>
      </c>
      <c r="T27" s="76"/>
      <c r="U27" s="76"/>
      <c r="V27" s="82"/>
      <c r="W27" s="80"/>
      <c r="X27" s="82"/>
      <c r="Y27" s="82"/>
      <c r="Z27" s="76"/>
      <c r="AA27" s="76"/>
      <c r="AB27" s="76"/>
      <c r="AC27" s="26">
        <v>193126.92</v>
      </c>
      <c r="AD27" s="76"/>
      <c r="AE27" s="78"/>
    </row>
    <row r="28" spans="1:31" ht="12.75" customHeight="1" x14ac:dyDescent="0.25">
      <c r="A28" s="75">
        <v>19</v>
      </c>
      <c r="B28" s="75" t="s">
        <v>58</v>
      </c>
      <c r="C28" s="75" t="s">
        <v>59</v>
      </c>
      <c r="D28" s="40" t="s">
        <v>76</v>
      </c>
      <c r="E28" s="34" t="s">
        <v>69</v>
      </c>
      <c r="F28" s="40" t="s">
        <v>81</v>
      </c>
      <c r="G28" s="75"/>
      <c r="H28" s="76"/>
      <c r="I28" s="86">
        <f t="shared" si="0"/>
        <v>8668939.9100000001</v>
      </c>
      <c r="J28" s="76"/>
      <c r="K28" s="76"/>
      <c r="L28" s="76"/>
      <c r="M28" s="76"/>
      <c r="N28" s="76"/>
      <c r="O28" s="76"/>
      <c r="P28" s="76"/>
      <c r="Q28" s="76"/>
      <c r="R28" s="151">
        <v>810.76</v>
      </c>
      <c r="S28" s="25">
        <v>8547078.3399999999</v>
      </c>
      <c r="T28" s="76"/>
      <c r="U28" s="76"/>
      <c r="V28" s="82"/>
      <c r="W28" s="80"/>
      <c r="X28" s="80"/>
      <c r="Y28" s="80"/>
      <c r="Z28" s="76"/>
      <c r="AA28" s="76"/>
      <c r="AB28" s="76"/>
      <c r="AC28" s="25">
        <v>121861.57</v>
      </c>
      <c r="AD28" s="76"/>
      <c r="AE28" s="78"/>
    </row>
    <row r="29" spans="1:31" ht="12.75" customHeight="1" x14ac:dyDescent="0.25">
      <c r="A29" s="75">
        <v>20</v>
      </c>
      <c r="B29" s="75" t="s">
        <v>58</v>
      </c>
      <c r="C29" s="75" t="s">
        <v>59</v>
      </c>
      <c r="D29" s="40" t="s">
        <v>76</v>
      </c>
      <c r="E29" s="34" t="s">
        <v>69</v>
      </c>
      <c r="F29" s="40">
        <v>40</v>
      </c>
      <c r="G29" s="75"/>
      <c r="H29" s="76" t="s">
        <v>84</v>
      </c>
      <c r="I29" s="86">
        <f t="shared" si="0"/>
        <v>12652486.859999999</v>
      </c>
      <c r="J29" s="76"/>
      <c r="K29" s="76"/>
      <c r="L29" s="76"/>
      <c r="M29" s="76"/>
      <c r="N29" s="76"/>
      <c r="O29" s="76"/>
      <c r="P29" s="76"/>
      <c r="Q29" s="76"/>
      <c r="R29" s="151">
        <v>1180.56</v>
      </c>
      <c r="S29" s="25">
        <v>12445493.58</v>
      </c>
      <c r="T29" s="76"/>
      <c r="U29" s="76"/>
      <c r="V29" s="82"/>
      <c r="W29" s="80"/>
      <c r="X29" s="80"/>
      <c r="Y29" s="80"/>
      <c r="Z29" s="76"/>
      <c r="AA29" s="76"/>
      <c r="AB29" s="76"/>
      <c r="AC29" s="25">
        <v>206993.28</v>
      </c>
      <c r="AD29" s="76"/>
      <c r="AE29" s="78"/>
    </row>
    <row r="30" spans="1:31" ht="12.75" customHeight="1" x14ac:dyDescent="0.25">
      <c r="A30" s="75">
        <v>21</v>
      </c>
      <c r="B30" s="75" t="s">
        <v>58</v>
      </c>
      <c r="C30" s="75" t="s">
        <v>59</v>
      </c>
      <c r="D30" s="40" t="s">
        <v>76</v>
      </c>
      <c r="E30" s="41" t="s">
        <v>69</v>
      </c>
      <c r="F30" s="81" t="s">
        <v>124</v>
      </c>
      <c r="G30" s="75"/>
      <c r="H30" s="76"/>
      <c r="I30" s="86">
        <f t="shared" si="0"/>
        <v>11842389.939999999</v>
      </c>
      <c r="J30" s="76"/>
      <c r="K30" s="76"/>
      <c r="L30" s="76"/>
      <c r="M30" s="76"/>
      <c r="N30" s="76"/>
      <c r="O30" s="76"/>
      <c r="P30" s="76"/>
      <c r="Q30" s="76"/>
      <c r="R30" s="152">
        <v>1105.02</v>
      </c>
      <c r="S30" s="26">
        <v>11649107.529999999</v>
      </c>
      <c r="T30" s="76"/>
      <c r="U30" s="76"/>
      <c r="V30" s="82"/>
      <c r="W30" s="80"/>
      <c r="X30" s="82"/>
      <c r="Y30" s="82"/>
      <c r="Z30" s="76"/>
      <c r="AA30" s="76"/>
      <c r="AB30" s="76"/>
      <c r="AC30" s="26">
        <v>193282.41</v>
      </c>
      <c r="AD30" s="76"/>
      <c r="AE30" s="78"/>
    </row>
    <row r="31" spans="1:31" ht="14.25" customHeight="1" x14ac:dyDescent="0.25">
      <c r="A31" s="75">
        <v>22</v>
      </c>
      <c r="B31" s="75" t="s">
        <v>58</v>
      </c>
      <c r="C31" s="75" t="s">
        <v>59</v>
      </c>
      <c r="D31" s="40" t="s">
        <v>76</v>
      </c>
      <c r="E31" s="40" t="s">
        <v>69</v>
      </c>
      <c r="F31" s="40">
        <v>230</v>
      </c>
      <c r="G31" s="75"/>
      <c r="H31" s="76"/>
      <c r="I31" s="86">
        <f t="shared" si="0"/>
        <v>6308396.3700000001</v>
      </c>
      <c r="J31" s="76"/>
      <c r="K31" s="76"/>
      <c r="L31" s="76"/>
      <c r="M31" s="76"/>
      <c r="N31" s="76"/>
      <c r="O31" s="76"/>
      <c r="P31" s="76"/>
      <c r="Q31" s="76"/>
      <c r="R31" s="151">
        <v>587.45000000000005</v>
      </c>
      <c r="S31" s="25">
        <v>6192947.8300000001</v>
      </c>
      <c r="T31" s="76"/>
      <c r="U31" s="76"/>
      <c r="V31" s="82"/>
      <c r="W31" s="80"/>
      <c r="X31" s="80"/>
      <c r="Y31" s="80"/>
      <c r="Z31" s="76"/>
      <c r="AA31" s="76"/>
      <c r="AB31" s="76"/>
      <c r="AC31" s="25">
        <v>115448.54</v>
      </c>
      <c r="AD31" s="76"/>
      <c r="AE31" s="78"/>
    </row>
    <row r="32" spans="1:31" ht="13.5" customHeight="1" x14ac:dyDescent="0.25">
      <c r="A32" s="75">
        <v>23</v>
      </c>
      <c r="B32" s="75" t="s">
        <v>58</v>
      </c>
      <c r="C32" s="75" t="s">
        <v>59</v>
      </c>
      <c r="D32" s="40" t="s">
        <v>76</v>
      </c>
      <c r="E32" s="40" t="s">
        <v>70</v>
      </c>
      <c r="F32" s="85" t="s">
        <v>125</v>
      </c>
      <c r="G32" s="75"/>
      <c r="H32" s="76"/>
      <c r="I32" s="86">
        <f t="shared" si="0"/>
        <v>40447817.549999997</v>
      </c>
      <c r="J32" s="76"/>
      <c r="K32" s="76"/>
      <c r="L32" s="76"/>
      <c r="M32" s="76"/>
      <c r="N32" s="76"/>
      <c r="O32" s="76"/>
      <c r="P32" s="76"/>
      <c r="Q32" s="76"/>
      <c r="R32" s="151">
        <v>3801.98</v>
      </c>
      <c r="S32" s="25">
        <v>40080507.189999998</v>
      </c>
      <c r="T32" s="76"/>
      <c r="U32" s="76"/>
      <c r="V32" s="82"/>
      <c r="W32" s="80"/>
      <c r="X32" s="80"/>
      <c r="Y32" s="80"/>
      <c r="Z32" s="76"/>
      <c r="AA32" s="76"/>
      <c r="AB32" s="76"/>
      <c r="AC32" s="25">
        <v>367310.36</v>
      </c>
      <c r="AD32" s="76"/>
      <c r="AE32" s="78"/>
    </row>
    <row r="33" spans="1:31" ht="14.25" customHeight="1" x14ac:dyDescent="0.25">
      <c r="A33" s="75">
        <v>24</v>
      </c>
      <c r="B33" s="75" t="s">
        <v>58</v>
      </c>
      <c r="C33" s="75" t="s">
        <v>59</v>
      </c>
      <c r="D33" s="51" t="s">
        <v>76</v>
      </c>
      <c r="E33" s="40" t="s">
        <v>70</v>
      </c>
      <c r="F33" s="85" t="s">
        <v>126</v>
      </c>
      <c r="G33" s="75"/>
      <c r="H33" s="76"/>
      <c r="I33" s="86">
        <f t="shared" si="0"/>
        <v>12340051.91</v>
      </c>
      <c r="J33" s="76"/>
      <c r="K33" s="76"/>
      <c r="L33" s="76"/>
      <c r="M33" s="76"/>
      <c r="N33" s="76"/>
      <c r="O33" s="76"/>
      <c r="P33" s="76"/>
      <c r="Q33" s="76"/>
      <c r="R33" s="151">
        <v>1151.72</v>
      </c>
      <c r="S33" s="25">
        <v>12141396</v>
      </c>
      <c r="T33" s="76"/>
      <c r="U33" s="76"/>
      <c r="V33" s="82"/>
      <c r="W33" s="80"/>
      <c r="X33" s="80"/>
      <c r="Y33" s="80"/>
      <c r="Z33" s="76"/>
      <c r="AA33" s="76"/>
      <c r="AB33" s="76"/>
      <c r="AC33" s="25">
        <v>198655.91</v>
      </c>
      <c r="AD33" s="76"/>
      <c r="AE33" s="78"/>
    </row>
    <row r="34" spans="1:31" ht="13.5" customHeight="1" x14ac:dyDescent="0.25">
      <c r="A34" s="75">
        <v>25</v>
      </c>
      <c r="B34" s="75" t="s">
        <v>58</v>
      </c>
      <c r="C34" s="75" t="s">
        <v>59</v>
      </c>
      <c r="D34" s="51" t="s">
        <v>76</v>
      </c>
      <c r="E34" s="40" t="s">
        <v>70</v>
      </c>
      <c r="F34" s="40">
        <v>76</v>
      </c>
      <c r="G34" s="75"/>
      <c r="H34" s="76"/>
      <c r="I34" s="86">
        <f t="shared" si="0"/>
        <v>10453251.09</v>
      </c>
      <c r="J34" s="76"/>
      <c r="K34" s="76"/>
      <c r="L34" s="76"/>
      <c r="M34" s="76"/>
      <c r="N34" s="76"/>
      <c r="O34" s="76"/>
      <c r="P34" s="76"/>
      <c r="Q34" s="76"/>
      <c r="R34" s="151">
        <v>976.25</v>
      </c>
      <c r="S34" s="25">
        <v>10291622.4</v>
      </c>
      <c r="T34" s="76"/>
      <c r="U34" s="76"/>
      <c r="V34" s="82"/>
      <c r="W34" s="80"/>
      <c r="X34" s="80"/>
      <c r="Y34" s="80"/>
      <c r="Z34" s="76"/>
      <c r="AA34" s="76"/>
      <c r="AB34" s="76"/>
      <c r="AC34" s="25">
        <v>161628.69</v>
      </c>
      <c r="AD34" s="76"/>
      <c r="AE34" s="78"/>
    </row>
    <row r="35" spans="1:31" ht="13.5" customHeight="1" x14ac:dyDescent="0.25">
      <c r="A35" s="75">
        <v>26</v>
      </c>
      <c r="B35" s="75" t="s">
        <v>58</v>
      </c>
      <c r="C35" s="75" t="s">
        <v>59</v>
      </c>
      <c r="D35" s="51" t="s">
        <v>77</v>
      </c>
      <c r="E35" s="40" t="s">
        <v>71</v>
      </c>
      <c r="F35" s="40">
        <v>6</v>
      </c>
      <c r="G35" s="75"/>
      <c r="H35" s="76"/>
      <c r="I35" s="86">
        <f t="shared" si="0"/>
        <v>909306.7</v>
      </c>
      <c r="J35" s="76"/>
      <c r="K35" s="76"/>
      <c r="L35" s="76"/>
      <c r="M35" s="76"/>
      <c r="N35" s="76"/>
      <c r="O35" s="76"/>
      <c r="P35" s="76"/>
      <c r="Q35" s="76"/>
      <c r="R35" s="151"/>
      <c r="S35" s="25"/>
      <c r="T35" s="76"/>
      <c r="U35" s="76"/>
      <c r="V35" s="82">
        <v>327.08999999999997</v>
      </c>
      <c r="W35" s="80">
        <v>909306.7</v>
      </c>
      <c r="X35" s="80"/>
      <c r="Y35" s="80"/>
      <c r="Z35" s="76"/>
      <c r="AA35" s="76"/>
      <c r="AB35" s="76"/>
      <c r="AC35" s="25"/>
      <c r="AD35" s="76"/>
      <c r="AE35" s="78"/>
    </row>
    <row r="36" spans="1:31" ht="15" customHeight="1" x14ac:dyDescent="0.25">
      <c r="A36" s="75">
        <v>27</v>
      </c>
      <c r="B36" s="75" t="s">
        <v>58</v>
      </c>
      <c r="C36" s="75" t="s">
        <v>59</v>
      </c>
      <c r="D36" s="51" t="s">
        <v>77</v>
      </c>
      <c r="E36" s="40" t="s">
        <v>72</v>
      </c>
      <c r="F36" s="40">
        <v>33</v>
      </c>
      <c r="G36" s="75"/>
      <c r="H36" s="76"/>
      <c r="I36" s="86">
        <f t="shared" si="0"/>
        <v>519425.18</v>
      </c>
      <c r="J36" s="76"/>
      <c r="K36" s="76"/>
      <c r="L36" s="76"/>
      <c r="M36" s="76"/>
      <c r="N36" s="76"/>
      <c r="O36" s="76"/>
      <c r="P36" s="76"/>
      <c r="Q36" s="76"/>
      <c r="R36" s="151"/>
      <c r="S36" s="25"/>
      <c r="T36" s="76"/>
      <c r="U36" s="76"/>
      <c r="V36" s="82">
        <v>186.84</v>
      </c>
      <c r="W36" s="80">
        <v>519425.18</v>
      </c>
      <c r="X36" s="80"/>
      <c r="Y36" s="80"/>
      <c r="Z36" s="76"/>
      <c r="AA36" s="76"/>
      <c r="AB36" s="76"/>
      <c r="AC36" s="25"/>
      <c r="AD36" s="76"/>
      <c r="AE36" s="78"/>
    </row>
    <row r="37" spans="1:31" ht="13.5" customHeight="1" x14ac:dyDescent="0.25">
      <c r="A37" s="75">
        <v>28</v>
      </c>
      <c r="B37" s="75" t="s">
        <v>58</v>
      </c>
      <c r="C37" s="75" t="s">
        <v>59</v>
      </c>
      <c r="D37" s="40" t="s">
        <v>77</v>
      </c>
      <c r="E37" s="40" t="s">
        <v>73</v>
      </c>
      <c r="F37" s="79" t="s">
        <v>82</v>
      </c>
      <c r="G37" s="75"/>
      <c r="H37" s="76"/>
      <c r="I37" s="86">
        <f t="shared" si="0"/>
        <v>15099073.77</v>
      </c>
      <c r="J37" s="76"/>
      <c r="K37" s="76"/>
      <c r="L37" s="76"/>
      <c r="M37" s="76"/>
      <c r="N37" s="76"/>
      <c r="O37" s="76"/>
      <c r="P37" s="76"/>
      <c r="Q37" s="76"/>
      <c r="R37" s="151"/>
      <c r="S37" s="25"/>
      <c r="T37" s="76"/>
      <c r="U37" s="76"/>
      <c r="V37" s="82"/>
      <c r="W37" s="80"/>
      <c r="X37" s="80">
        <v>2505.44</v>
      </c>
      <c r="Y37" s="25">
        <v>14844747.6</v>
      </c>
      <c r="Z37" s="76"/>
      <c r="AA37" s="76"/>
      <c r="AB37" s="76"/>
      <c r="AC37" s="25">
        <v>254326.17</v>
      </c>
      <c r="AD37" s="76"/>
      <c r="AE37" s="78"/>
    </row>
    <row r="38" spans="1:31" ht="12" customHeight="1" x14ac:dyDescent="0.25">
      <c r="A38" s="75">
        <v>29</v>
      </c>
      <c r="B38" s="75" t="s">
        <v>58</v>
      </c>
      <c r="C38" s="75" t="s">
        <v>59</v>
      </c>
      <c r="D38" s="40" t="s">
        <v>77</v>
      </c>
      <c r="E38" s="40" t="s">
        <v>74</v>
      </c>
      <c r="F38" s="79" t="s">
        <v>83</v>
      </c>
      <c r="G38" s="75"/>
      <c r="H38" s="76"/>
      <c r="I38" s="86">
        <f t="shared" si="0"/>
        <v>8504802.540000001</v>
      </c>
      <c r="J38" s="76"/>
      <c r="K38" s="76"/>
      <c r="L38" s="76"/>
      <c r="M38" s="76"/>
      <c r="N38" s="76"/>
      <c r="O38" s="76"/>
      <c r="P38" s="76"/>
      <c r="Q38" s="76"/>
      <c r="R38" s="151">
        <v>787.42</v>
      </c>
      <c r="S38" s="25">
        <v>8300984.4000000004</v>
      </c>
      <c r="T38" s="76"/>
      <c r="U38" s="76"/>
      <c r="V38" s="82"/>
      <c r="W38" s="80"/>
      <c r="X38" s="80"/>
      <c r="Y38" s="80"/>
      <c r="Z38" s="76"/>
      <c r="AA38" s="76"/>
      <c r="AB38" s="76"/>
      <c r="AC38" s="25">
        <v>203818.14</v>
      </c>
      <c r="AD38" s="76"/>
      <c r="AE38" s="78"/>
    </row>
    <row r="39" spans="1:31" ht="15" customHeight="1" x14ac:dyDescent="0.25">
      <c r="A39" s="75">
        <v>30</v>
      </c>
      <c r="B39" s="75" t="s">
        <v>58</v>
      </c>
      <c r="C39" s="75" t="s">
        <v>59</v>
      </c>
      <c r="D39" s="40" t="s">
        <v>77</v>
      </c>
      <c r="E39" s="40" t="s">
        <v>74</v>
      </c>
      <c r="F39" s="85" t="s">
        <v>127</v>
      </c>
      <c r="G39" s="75"/>
      <c r="H39" s="76"/>
      <c r="I39" s="86">
        <f t="shared" si="0"/>
        <v>630273.30000000005</v>
      </c>
      <c r="J39" s="76"/>
      <c r="K39" s="76"/>
      <c r="L39" s="76"/>
      <c r="M39" s="76"/>
      <c r="N39" s="76"/>
      <c r="O39" s="76"/>
      <c r="P39" s="76"/>
      <c r="Q39" s="76"/>
      <c r="R39" s="151"/>
      <c r="S39" s="25"/>
      <c r="T39" s="76"/>
      <c r="U39" s="76"/>
      <c r="V39" s="82">
        <v>226.72</v>
      </c>
      <c r="W39" s="80">
        <v>630273.30000000005</v>
      </c>
      <c r="X39" s="76"/>
      <c r="Y39" s="76"/>
      <c r="Z39" s="76"/>
      <c r="AA39" s="76"/>
      <c r="AB39" s="76"/>
      <c r="AC39" s="25"/>
      <c r="AD39" s="76"/>
      <c r="AE39" s="78"/>
    </row>
    <row r="40" spans="1:31" ht="33" customHeight="1" x14ac:dyDescent="0.25">
      <c r="A40" s="222" t="s">
        <v>105</v>
      </c>
      <c r="B40" s="223"/>
      <c r="C40" s="223"/>
      <c r="D40" s="223"/>
      <c r="E40" s="223"/>
      <c r="F40" s="223"/>
      <c r="G40" s="223"/>
      <c r="H40" s="224"/>
      <c r="I40" s="23">
        <f>SUM(I10:I39)</f>
        <v>276791870.06</v>
      </c>
      <c r="J40" s="138">
        <f t="shared" ref="J40:O40" si="1">SUM(J10:J39)</f>
        <v>0</v>
      </c>
      <c r="K40" s="138">
        <f t="shared" si="1"/>
        <v>0</v>
      </c>
      <c r="L40" s="138">
        <f t="shared" si="1"/>
        <v>0</v>
      </c>
      <c r="M40" s="138">
        <f t="shared" si="1"/>
        <v>0</v>
      </c>
      <c r="N40" s="138">
        <f t="shared" si="1"/>
        <v>0</v>
      </c>
      <c r="O40" s="138">
        <f t="shared" si="1"/>
        <v>0</v>
      </c>
      <c r="P40" s="22"/>
      <c r="Q40" s="138">
        <f>SUM(Q10:Q39)</f>
        <v>0</v>
      </c>
      <c r="R40" s="153">
        <f>SUM(R10:R39)</f>
        <v>23116.149999999998</v>
      </c>
      <c r="S40" s="23">
        <f>SUM(S10:S39)</f>
        <v>243690490.10000005</v>
      </c>
      <c r="T40" s="22"/>
      <c r="U40" s="138">
        <f ca="1">SUM(U10:U40)</f>
        <v>0</v>
      </c>
      <c r="V40" s="23">
        <f>SUM(V10:V39)</f>
        <v>1867.6599999999999</v>
      </c>
      <c r="W40" s="23">
        <f>SUM(W10:W39)</f>
        <v>5192115.0399999991</v>
      </c>
      <c r="X40" s="23">
        <f>SUM(X10:X39)</f>
        <v>4024.57</v>
      </c>
      <c r="Y40" s="23">
        <f>SUM(Y10:Y39)</f>
        <v>23845572.52</v>
      </c>
      <c r="Z40" s="138">
        <f>SUM(Z10:Z39)</f>
        <v>0</v>
      </c>
      <c r="AA40" s="22"/>
      <c r="AB40" s="138">
        <f>SUM(AB10:AB39)</f>
        <v>0</v>
      </c>
      <c r="AC40" s="23">
        <f>SUM(AC10:AC39)</f>
        <v>4063692.4</v>
      </c>
      <c r="AD40" s="138">
        <f>SUM(AD10:AD39)</f>
        <v>0</v>
      </c>
      <c r="AE40" s="139">
        <f>SUM(AE10:AE39)</f>
        <v>0</v>
      </c>
    </row>
    <row r="41" spans="1:31" ht="14.25" customHeight="1" x14ac:dyDescent="0.25">
      <c r="A41" s="154"/>
      <c r="B41" s="155"/>
      <c r="C41" s="155"/>
      <c r="D41" s="155"/>
      <c r="E41" s="155"/>
      <c r="F41" s="155"/>
      <c r="G41" s="155"/>
      <c r="H41" s="155"/>
      <c r="I41" s="122"/>
      <c r="J41" s="123"/>
      <c r="K41" s="123"/>
      <c r="L41" s="123"/>
      <c r="M41" s="123"/>
      <c r="N41" s="123"/>
      <c r="O41" s="123"/>
      <c r="P41" s="123"/>
      <c r="Q41" s="123"/>
      <c r="R41" s="122"/>
      <c r="S41" s="122"/>
      <c r="T41" s="123"/>
      <c r="U41" s="123"/>
      <c r="V41" s="122"/>
      <c r="W41" s="122"/>
      <c r="X41" s="122"/>
      <c r="Y41" s="122"/>
      <c r="Z41" s="123"/>
      <c r="AA41" s="123"/>
      <c r="AB41" s="123"/>
      <c r="AC41" s="122"/>
      <c r="AD41" s="123"/>
      <c r="AE41" s="124"/>
    </row>
    <row r="42" spans="1:31" x14ac:dyDescent="0.25">
      <c r="A42" s="231" t="s">
        <v>89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3"/>
    </row>
    <row r="43" spans="1:31" ht="14.25" customHeight="1" x14ac:dyDescent="0.25">
      <c r="A43" s="36">
        <v>1</v>
      </c>
      <c r="B43" s="75" t="s">
        <v>58</v>
      </c>
      <c r="C43" s="75" t="s">
        <v>59</v>
      </c>
      <c r="D43" s="51" t="s">
        <v>75</v>
      </c>
      <c r="E43" s="35" t="s">
        <v>93</v>
      </c>
      <c r="F43" s="51">
        <v>7</v>
      </c>
      <c r="G43" s="46"/>
      <c r="H43" s="10"/>
      <c r="I43" s="23">
        <f>J43+K43+L43+M43+N43+O43+Q43+S43+U43+W43+Y43+Z43+AB43+AC43+AD43+AE43</f>
        <v>11014460</v>
      </c>
      <c r="J43" s="7"/>
      <c r="K43" s="7"/>
      <c r="L43" s="7"/>
      <c r="M43" s="7"/>
      <c r="N43" s="7"/>
      <c r="O43" s="7"/>
      <c r="P43" s="134">
        <v>2</v>
      </c>
      <c r="Q43" s="25">
        <f>P43*5367230</f>
        <v>10734460</v>
      </c>
      <c r="R43" s="130"/>
      <c r="S43" s="25"/>
      <c r="T43" s="7"/>
      <c r="U43" s="7"/>
      <c r="V43" s="7"/>
      <c r="W43" s="7"/>
      <c r="X43" s="25"/>
      <c r="Y43" s="25"/>
      <c r="Z43" s="7"/>
      <c r="AA43" s="7"/>
      <c r="AB43" s="7"/>
      <c r="AC43" s="25">
        <v>280000</v>
      </c>
      <c r="AD43" s="7"/>
      <c r="AE43" s="8"/>
    </row>
    <row r="44" spans="1:31" ht="14.25" customHeight="1" x14ac:dyDescent="0.25">
      <c r="A44" s="36">
        <v>2</v>
      </c>
      <c r="B44" s="75" t="s">
        <v>58</v>
      </c>
      <c r="C44" s="75" t="s">
        <v>59</v>
      </c>
      <c r="D44" s="51" t="s">
        <v>75</v>
      </c>
      <c r="E44" s="127" t="s">
        <v>110</v>
      </c>
      <c r="F44" s="128">
        <v>11</v>
      </c>
      <c r="G44" s="46"/>
      <c r="H44" s="10"/>
      <c r="I44" s="23">
        <f>J44+K44+L44+M44+N44+O44+Q44+S44+U44+W44+Y44+Z44+AB44+AC44+AD44+AE44</f>
        <v>16234216</v>
      </c>
      <c r="J44" s="7"/>
      <c r="K44" s="7"/>
      <c r="L44" s="7"/>
      <c r="M44" s="7"/>
      <c r="N44" s="7"/>
      <c r="O44" s="7"/>
      <c r="P44" s="135"/>
      <c r="Q44" s="25"/>
      <c r="R44" s="145">
        <v>1263</v>
      </c>
      <c r="S44" s="25">
        <f>R44*12632</f>
        <v>15954216</v>
      </c>
      <c r="T44" s="7"/>
      <c r="U44" s="7"/>
      <c r="V44" s="7"/>
      <c r="W44" s="7"/>
      <c r="X44" s="25"/>
      <c r="Y44" s="25"/>
      <c r="Z44" s="7"/>
      <c r="AA44" s="7"/>
      <c r="AB44" s="7"/>
      <c r="AC44" s="25">
        <v>280000</v>
      </c>
      <c r="AD44" s="7"/>
      <c r="AE44" s="8"/>
    </row>
    <row r="45" spans="1:31" ht="13.5" customHeight="1" x14ac:dyDescent="0.25">
      <c r="A45" s="36">
        <v>3</v>
      </c>
      <c r="B45" s="75" t="s">
        <v>58</v>
      </c>
      <c r="C45" s="75" t="s">
        <v>59</v>
      </c>
      <c r="D45" s="51" t="s">
        <v>75</v>
      </c>
      <c r="E45" s="35" t="s">
        <v>94</v>
      </c>
      <c r="F45" s="51">
        <v>4</v>
      </c>
      <c r="G45" s="46"/>
      <c r="H45" s="10"/>
      <c r="I45" s="23">
        <f t="shared" ref="I45:I61" si="2">J45+K45+L45+M45+N45+O45+Q45+S45+U45+W45+Y45+Z45+AB45+AC45+AD45+AE45</f>
        <v>11014460</v>
      </c>
      <c r="J45" s="7"/>
      <c r="K45" s="7"/>
      <c r="L45" s="7"/>
      <c r="M45" s="7"/>
      <c r="N45" s="7"/>
      <c r="O45" s="7"/>
      <c r="P45" s="134">
        <v>2</v>
      </c>
      <c r="Q45" s="25">
        <f t="shared" ref="Q45:Q58" si="3">P45*5367230</f>
        <v>10734460</v>
      </c>
      <c r="R45" s="130"/>
      <c r="S45" s="25"/>
      <c r="T45" s="7"/>
      <c r="U45" s="7"/>
      <c r="V45" s="7"/>
      <c r="W45" s="7"/>
      <c r="X45" s="25"/>
      <c r="Y45" s="25"/>
      <c r="Z45" s="7"/>
      <c r="AA45" s="7"/>
      <c r="AB45" s="7"/>
      <c r="AC45" s="25">
        <v>280000</v>
      </c>
      <c r="AD45" s="7"/>
      <c r="AE45" s="8"/>
    </row>
    <row r="46" spans="1:31" ht="13.5" customHeight="1" x14ac:dyDescent="0.25">
      <c r="A46" s="36">
        <v>4</v>
      </c>
      <c r="B46" s="75" t="s">
        <v>58</v>
      </c>
      <c r="C46" s="75" t="s">
        <v>59</v>
      </c>
      <c r="D46" s="51" t="s">
        <v>75</v>
      </c>
      <c r="E46" s="35" t="s">
        <v>94</v>
      </c>
      <c r="F46" s="51">
        <v>18</v>
      </c>
      <c r="G46" s="46"/>
      <c r="H46" s="10"/>
      <c r="I46" s="23">
        <f>J46+K46+L46+M46+N46+O46+Q46+S46+U46+W46+Y46+Z46+AB46+AC46+AD46+AE46</f>
        <v>5647230</v>
      </c>
      <c r="J46" s="7"/>
      <c r="K46" s="7"/>
      <c r="L46" s="7"/>
      <c r="M46" s="7"/>
      <c r="N46" s="7"/>
      <c r="O46" s="7"/>
      <c r="P46" s="134">
        <v>1</v>
      </c>
      <c r="Q46" s="25">
        <f t="shared" si="3"/>
        <v>5367230</v>
      </c>
      <c r="R46" s="130"/>
      <c r="S46" s="25"/>
      <c r="T46" s="7"/>
      <c r="U46" s="7"/>
      <c r="V46" s="133"/>
      <c r="W46" s="133"/>
      <c r="X46" s="25"/>
      <c r="Y46" s="25"/>
      <c r="Z46" s="7"/>
      <c r="AA46" s="7"/>
      <c r="AB46" s="7"/>
      <c r="AC46" s="25">
        <v>280000</v>
      </c>
      <c r="AD46" s="7"/>
      <c r="AE46" s="8"/>
    </row>
    <row r="47" spans="1:31" ht="13.5" customHeight="1" x14ac:dyDescent="0.25">
      <c r="A47" s="36">
        <v>5</v>
      </c>
      <c r="B47" s="75" t="s">
        <v>58</v>
      </c>
      <c r="C47" s="75" t="s">
        <v>59</v>
      </c>
      <c r="D47" s="51" t="s">
        <v>75</v>
      </c>
      <c r="E47" s="127" t="s">
        <v>94</v>
      </c>
      <c r="F47" s="128">
        <v>57</v>
      </c>
      <c r="G47" s="46"/>
      <c r="H47" s="10"/>
      <c r="I47" s="23">
        <f>J47+K47+L47+M47+N47+O47+Q47+S47+U47+W47+Y47+Z47+AB47+AC47+AD47+AE47</f>
        <v>16163476.800000001</v>
      </c>
      <c r="J47" s="7"/>
      <c r="K47" s="7"/>
      <c r="L47" s="7"/>
      <c r="M47" s="7"/>
      <c r="N47" s="7"/>
      <c r="O47" s="7"/>
      <c r="P47" s="135"/>
      <c r="Q47" s="25"/>
      <c r="R47" s="145">
        <v>1257.4000000000001</v>
      </c>
      <c r="S47" s="25">
        <f>R47*12632</f>
        <v>15883476.800000001</v>
      </c>
      <c r="T47" s="7"/>
      <c r="U47" s="7"/>
      <c r="V47" s="7"/>
      <c r="W47" s="7"/>
      <c r="X47" s="25"/>
      <c r="Y47" s="25"/>
      <c r="Z47" s="7"/>
      <c r="AA47" s="7"/>
      <c r="AB47" s="7"/>
      <c r="AC47" s="25">
        <v>280000</v>
      </c>
      <c r="AD47" s="7"/>
      <c r="AE47" s="8"/>
    </row>
    <row r="48" spans="1:31" ht="13.5" customHeight="1" x14ac:dyDescent="0.25">
      <c r="A48" s="36">
        <v>6</v>
      </c>
      <c r="B48" s="75" t="s">
        <v>58</v>
      </c>
      <c r="C48" s="75" t="s">
        <v>59</v>
      </c>
      <c r="D48" s="51" t="s">
        <v>75</v>
      </c>
      <c r="E48" s="127" t="s">
        <v>111</v>
      </c>
      <c r="F48" s="128">
        <v>4</v>
      </c>
      <c r="G48" s="46"/>
      <c r="H48" s="10"/>
      <c r="I48" s="23">
        <f>J48+K48+L48+M48+N48+O48+Q48+S48+U48+W48+Y48+Z48+AB48+AC48+AD48+AE48</f>
        <v>15716304</v>
      </c>
      <c r="J48" s="7"/>
      <c r="K48" s="7"/>
      <c r="L48" s="7"/>
      <c r="M48" s="7"/>
      <c r="N48" s="7"/>
      <c r="O48" s="7"/>
      <c r="P48" s="135"/>
      <c r="Q48" s="25"/>
      <c r="R48" s="145">
        <v>1222</v>
      </c>
      <c r="S48" s="25">
        <f>R48*12632</f>
        <v>15436304</v>
      </c>
      <c r="T48" s="7"/>
      <c r="U48" s="7"/>
      <c r="V48" s="7"/>
      <c r="W48" s="7"/>
      <c r="X48" s="25"/>
      <c r="Y48" s="25"/>
      <c r="Z48" s="7"/>
      <c r="AA48" s="7"/>
      <c r="AB48" s="7"/>
      <c r="AC48" s="25">
        <v>280000</v>
      </c>
      <c r="AD48" s="7"/>
      <c r="AE48" s="8"/>
    </row>
    <row r="49" spans="1:31" ht="13.5" customHeight="1" x14ac:dyDescent="0.25">
      <c r="A49" s="36">
        <v>7</v>
      </c>
      <c r="B49" s="75" t="s">
        <v>58</v>
      </c>
      <c r="C49" s="75" t="s">
        <v>59</v>
      </c>
      <c r="D49" s="40" t="s">
        <v>76</v>
      </c>
      <c r="E49" s="104" t="s">
        <v>69</v>
      </c>
      <c r="F49" s="79" t="s">
        <v>116</v>
      </c>
      <c r="G49" s="46"/>
      <c r="H49" s="10"/>
      <c r="I49" s="23">
        <f>J49+K49+L49+M49+N49+O49+Q49+S49+U49+W49+Y49+Z49+AB49+AC49+AD49</f>
        <v>13995825.6</v>
      </c>
      <c r="J49" s="7"/>
      <c r="K49" s="7"/>
      <c r="L49" s="7"/>
      <c r="M49" s="7"/>
      <c r="N49" s="7"/>
      <c r="O49" s="7"/>
      <c r="P49" s="135"/>
      <c r="Q49" s="25"/>
      <c r="R49" s="145">
        <v>1085.8</v>
      </c>
      <c r="S49" s="25">
        <f t="shared" ref="S49" si="4">R49*12632</f>
        <v>13715825.6</v>
      </c>
      <c r="T49" s="7"/>
      <c r="U49" s="7"/>
      <c r="V49" s="133"/>
      <c r="W49" s="133"/>
      <c r="X49" s="25"/>
      <c r="Y49" s="25"/>
      <c r="Z49" s="7"/>
      <c r="AA49" s="7"/>
      <c r="AB49" s="7"/>
      <c r="AC49" s="25">
        <v>280000</v>
      </c>
      <c r="AD49" s="7"/>
      <c r="AE49" s="8"/>
    </row>
    <row r="50" spans="1:31" ht="13.5" customHeight="1" x14ac:dyDescent="0.25">
      <c r="A50" s="36">
        <v>8</v>
      </c>
      <c r="B50" s="75" t="s">
        <v>58</v>
      </c>
      <c r="C50" s="75" t="s">
        <v>59</v>
      </c>
      <c r="D50" s="40" t="s">
        <v>76</v>
      </c>
      <c r="E50" s="104" t="s">
        <v>69</v>
      </c>
      <c r="F50" s="79" t="s">
        <v>112</v>
      </c>
      <c r="G50" s="46"/>
      <c r="H50" s="10"/>
      <c r="I50" s="23">
        <f>S50+AC50</f>
        <v>15216076.800000001</v>
      </c>
      <c r="J50" s="7"/>
      <c r="K50" s="7"/>
      <c r="L50" s="7"/>
      <c r="M50" s="7"/>
      <c r="N50" s="7"/>
      <c r="O50" s="7"/>
      <c r="P50" s="135"/>
      <c r="Q50" s="25"/>
      <c r="R50" s="131">
        <v>1182.4000000000001</v>
      </c>
      <c r="S50" s="25">
        <f t="shared" ref="S50:S60" si="5">R50*12632</f>
        <v>14936076.800000001</v>
      </c>
      <c r="T50" s="7"/>
      <c r="U50" s="7"/>
      <c r="V50" s="7"/>
      <c r="W50" s="7"/>
      <c r="X50" s="25"/>
      <c r="Y50" s="25"/>
      <c r="Z50" s="7"/>
      <c r="AA50" s="7"/>
      <c r="AB50" s="7"/>
      <c r="AC50" s="137">
        <v>280000</v>
      </c>
      <c r="AD50" s="7"/>
      <c r="AE50" s="8"/>
    </row>
    <row r="51" spans="1:31" ht="13.5" customHeight="1" x14ac:dyDescent="0.25">
      <c r="A51" s="36">
        <v>9</v>
      </c>
      <c r="B51" s="75" t="s">
        <v>58</v>
      </c>
      <c r="C51" s="75" t="s">
        <v>59</v>
      </c>
      <c r="D51" s="40" t="s">
        <v>76</v>
      </c>
      <c r="E51" s="104" t="s">
        <v>69</v>
      </c>
      <c r="F51" s="79" t="s">
        <v>95</v>
      </c>
      <c r="G51" s="46"/>
      <c r="H51" s="10"/>
      <c r="I51" s="23">
        <f t="shared" si="2"/>
        <v>16707916</v>
      </c>
      <c r="J51" s="7"/>
      <c r="K51" s="7"/>
      <c r="L51" s="7"/>
      <c r="M51" s="7"/>
      <c r="N51" s="7"/>
      <c r="O51" s="7"/>
      <c r="P51" s="135"/>
      <c r="Q51" s="25"/>
      <c r="R51" s="131">
        <v>1300.5</v>
      </c>
      <c r="S51" s="25">
        <f t="shared" si="5"/>
        <v>16427916</v>
      </c>
      <c r="T51" s="7"/>
      <c r="U51" s="7"/>
      <c r="V51" s="7"/>
      <c r="W51" s="7"/>
      <c r="X51" s="25"/>
      <c r="Y51" s="25"/>
      <c r="Z51" s="7"/>
      <c r="AA51" s="7"/>
      <c r="AB51" s="7"/>
      <c r="AC51" s="137">
        <v>280000</v>
      </c>
      <c r="AD51" s="7"/>
      <c r="AE51" s="8"/>
    </row>
    <row r="52" spans="1:31" ht="13.5" customHeight="1" x14ac:dyDescent="0.25">
      <c r="A52" s="36">
        <v>10</v>
      </c>
      <c r="B52" s="75" t="s">
        <v>58</v>
      </c>
      <c r="C52" s="75" t="s">
        <v>59</v>
      </c>
      <c r="D52" s="40" t="s">
        <v>76</v>
      </c>
      <c r="E52" s="40" t="s">
        <v>69</v>
      </c>
      <c r="F52" s="176" t="s">
        <v>96</v>
      </c>
      <c r="G52" s="46"/>
      <c r="H52" s="10"/>
      <c r="I52" s="23">
        <f t="shared" si="2"/>
        <v>18823776</v>
      </c>
      <c r="J52" s="7"/>
      <c r="K52" s="7"/>
      <c r="L52" s="7"/>
      <c r="M52" s="7"/>
      <c r="N52" s="7"/>
      <c r="O52" s="7"/>
      <c r="P52" s="135"/>
      <c r="Q52" s="25"/>
      <c r="R52" s="132">
        <v>1468</v>
      </c>
      <c r="S52" s="25">
        <f t="shared" si="5"/>
        <v>18543776</v>
      </c>
      <c r="T52" s="7"/>
      <c r="U52" s="7"/>
      <c r="V52" s="7"/>
      <c r="W52" s="7"/>
      <c r="X52" s="25"/>
      <c r="Y52" s="25"/>
      <c r="Z52" s="7"/>
      <c r="AA52" s="7"/>
      <c r="AB52" s="7"/>
      <c r="AC52" s="25">
        <v>280000</v>
      </c>
      <c r="AD52" s="7"/>
      <c r="AE52" s="8"/>
    </row>
    <row r="53" spans="1:31" ht="13.5" customHeight="1" x14ac:dyDescent="0.25">
      <c r="A53" s="36">
        <v>11</v>
      </c>
      <c r="B53" s="75" t="s">
        <v>58</v>
      </c>
      <c r="C53" s="75" t="s">
        <v>59</v>
      </c>
      <c r="D53" s="51" t="s">
        <v>76</v>
      </c>
      <c r="E53" s="128" t="s">
        <v>69</v>
      </c>
      <c r="F53" s="128">
        <v>36</v>
      </c>
      <c r="G53" s="129"/>
      <c r="H53" s="39" t="s">
        <v>84</v>
      </c>
      <c r="I53" s="23">
        <f t="shared" si="2"/>
        <v>11591956</v>
      </c>
      <c r="J53" s="7"/>
      <c r="K53" s="7"/>
      <c r="L53" s="7"/>
      <c r="M53" s="7"/>
      <c r="N53" s="7"/>
      <c r="O53" s="7"/>
      <c r="P53" s="135"/>
      <c r="Q53" s="25"/>
      <c r="R53" s="132">
        <v>895.5</v>
      </c>
      <c r="S53" s="25">
        <f t="shared" si="5"/>
        <v>11311956</v>
      </c>
      <c r="T53" s="7"/>
      <c r="U53" s="7"/>
      <c r="V53" s="7"/>
      <c r="W53" s="7"/>
      <c r="X53" s="25"/>
      <c r="Y53" s="25"/>
      <c r="Z53" s="7"/>
      <c r="AA53" s="7"/>
      <c r="AB53" s="7"/>
      <c r="AC53" s="25">
        <v>280000</v>
      </c>
      <c r="AD53" s="7"/>
      <c r="AE53" s="8"/>
    </row>
    <row r="54" spans="1:31" ht="13.5" customHeight="1" x14ac:dyDescent="0.25">
      <c r="A54" s="36">
        <v>12</v>
      </c>
      <c r="B54" s="75" t="s">
        <v>58</v>
      </c>
      <c r="C54" s="75" t="s">
        <v>59</v>
      </c>
      <c r="D54" s="40" t="s">
        <v>76</v>
      </c>
      <c r="E54" s="40" t="s">
        <v>69</v>
      </c>
      <c r="F54" s="40">
        <v>65</v>
      </c>
      <c r="G54" s="46"/>
      <c r="H54" s="10"/>
      <c r="I54" s="23">
        <f t="shared" si="2"/>
        <v>7240232</v>
      </c>
      <c r="J54" s="7"/>
      <c r="K54" s="7"/>
      <c r="L54" s="7"/>
      <c r="M54" s="7"/>
      <c r="N54" s="7"/>
      <c r="O54" s="7"/>
      <c r="P54" s="135"/>
      <c r="Q54" s="25"/>
      <c r="R54" s="25">
        <v>551</v>
      </c>
      <c r="S54" s="25">
        <f t="shared" si="5"/>
        <v>6960232</v>
      </c>
      <c r="T54" s="7"/>
      <c r="U54" s="7"/>
      <c r="V54" s="7"/>
      <c r="W54" s="7"/>
      <c r="X54" s="25"/>
      <c r="Y54" s="25"/>
      <c r="Z54" s="7"/>
      <c r="AA54" s="7"/>
      <c r="AB54" s="7"/>
      <c r="AC54" s="25">
        <v>280000</v>
      </c>
      <c r="AD54" s="7"/>
      <c r="AE54" s="8"/>
    </row>
    <row r="55" spans="1:31" ht="13.5" customHeight="1" x14ac:dyDescent="0.25">
      <c r="A55" s="36">
        <v>13</v>
      </c>
      <c r="B55" s="75" t="s">
        <v>58</v>
      </c>
      <c r="C55" s="75" t="s">
        <v>59</v>
      </c>
      <c r="D55" s="40" t="s">
        <v>76</v>
      </c>
      <c r="E55" s="104" t="s">
        <v>69</v>
      </c>
      <c r="F55" s="40">
        <v>95</v>
      </c>
      <c r="G55" s="46"/>
      <c r="H55" s="10"/>
      <c r="I55" s="23">
        <f t="shared" si="2"/>
        <v>32483380</v>
      </c>
      <c r="J55" s="7"/>
      <c r="K55" s="7"/>
      <c r="L55" s="7"/>
      <c r="M55" s="7"/>
      <c r="N55" s="7"/>
      <c r="O55" s="7"/>
      <c r="P55" s="134">
        <v>6</v>
      </c>
      <c r="Q55" s="25">
        <f>P55*5367230</f>
        <v>32203380</v>
      </c>
      <c r="R55" s="131"/>
      <c r="S55" s="25"/>
      <c r="T55" s="7"/>
      <c r="U55" s="7"/>
      <c r="V55" s="7"/>
      <c r="W55" s="7"/>
      <c r="X55" s="25"/>
      <c r="Y55" s="25"/>
      <c r="Z55" s="7"/>
      <c r="AA55" s="7"/>
      <c r="AB55" s="7"/>
      <c r="AC55" s="25">
        <v>280000</v>
      </c>
      <c r="AD55" s="7"/>
      <c r="AE55" s="8"/>
    </row>
    <row r="56" spans="1:31" ht="13.5" customHeight="1" x14ac:dyDescent="0.25">
      <c r="A56" s="36">
        <v>14</v>
      </c>
      <c r="B56" s="75" t="s">
        <v>58</v>
      </c>
      <c r="C56" s="75" t="s">
        <v>59</v>
      </c>
      <c r="D56" s="51" t="s">
        <v>76</v>
      </c>
      <c r="E56" s="35" t="s">
        <v>97</v>
      </c>
      <c r="F56" s="35">
        <v>10</v>
      </c>
      <c r="G56" s="46"/>
      <c r="H56" s="10"/>
      <c r="I56" s="23">
        <f>J56+K56+L56+M56+N56+O56+Q56+S56+U56+W56+Y56+Z56+AB56+AC56+AD56+AE56</f>
        <v>16577806.4</v>
      </c>
      <c r="J56" s="7"/>
      <c r="K56" s="7"/>
      <c r="L56" s="7"/>
      <c r="M56" s="7"/>
      <c r="N56" s="7"/>
      <c r="O56" s="7"/>
      <c r="P56" s="134"/>
      <c r="Q56" s="25"/>
      <c r="R56" s="131">
        <v>1290.2</v>
      </c>
      <c r="S56" s="25">
        <f t="shared" si="5"/>
        <v>16297806.4</v>
      </c>
      <c r="T56" s="7"/>
      <c r="U56" s="7"/>
      <c r="V56" s="7"/>
      <c r="W56" s="7"/>
      <c r="X56" s="25"/>
      <c r="Y56" s="25"/>
      <c r="Z56" s="7"/>
      <c r="AA56" s="7"/>
      <c r="AB56" s="7"/>
      <c r="AC56" s="25">
        <v>280000</v>
      </c>
      <c r="AD56" s="7"/>
      <c r="AE56" s="8"/>
    </row>
    <row r="57" spans="1:31" ht="13.5" customHeight="1" x14ac:dyDescent="0.25">
      <c r="A57" s="36">
        <v>15</v>
      </c>
      <c r="B57" s="75" t="s">
        <v>58</v>
      </c>
      <c r="C57" s="75" t="s">
        <v>59</v>
      </c>
      <c r="D57" s="51" t="s">
        <v>76</v>
      </c>
      <c r="E57" s="35" t="s">
        <v>97</v>
      </c>
      <c r="F57" s="35">
        <v>50</v>
      </c>
      <c r="G57" s="46"/>
      <c r="H57" s="10"/>
      <c r="I57" s="23">
        <f t="shared" si="2"/>
        <v>13952876.800000001</v>
      </c>
      <c r="J57" s="7"/>
      <c r="K57" s="7"/>
      <c r="L57" s="7"/>
      <c r="M57" s="7"/>
      <c r="N57" s="7"/>
      <c r="O57" s="7"/>
      <c r="P57" s="135"/>
      <c r="Q57" s="25"/>
      <c r="R57" s="146">
        <v>1082.4000000000001</v>
      </c>
      <c r="S57" s="25">
        <f t="shared" si="5"/>
        <v>13672876.800000001</v>
      </c>
      <c r="T57" s="7"/>
      <c r="U57" s="7"/>
      <c r="V57" s="7"/>
      <c r="W57" s="7"/>
      <c r="X57" s="25"/>
      <c r="Y57" s="25"/>
      <c r="Z57" s="7"/>
      <c r="AA57" s="7"/>
      <c r="AB57" s="7"/>
      <c r="AC57" s="25">
        <v>280000</v>
      </c>
      <c r="AD57" s="7"/>
      <c r="AE57" s="8"/>
    </row>
    <row r="58" spans="1:31" ht="13.5" customHeight="1" x14ac:dyDescent="0.25">
      <c r="A58" s="36">
        <v>16</v>
      </c>
      <c r="B58" s="75" t="s">
        <v>58</v>
      </c>
      <c r="C58" s="75" t="s">
        <v>59</v>
      </c>
      <c r="D58" s="40" t="s">
        <v>76</v>
      </c>
      <c r="E58" s="40" t="s">
        <v>97</v>
      </c>
      <c r="F58" s="40">
        <v>63</v>
      </c>
      <c r="G58" s="46"/>
      <c r="H58" s="10"/>
      <c r="I58" s="23">
        <f t="shared" si="2"/>
        <v>11014460</v>
      </c>
      <c r="J58" s="7"/>
      <c r="K58" s="7"/>
      <c r="L58" s="7"/>
      <c r="M58" s="7"/>
      <c r="N58" s="7"/>
      <c r="O58" s="7"/>
      <c r="P58" s="134">
        <v>2</v>
      </c>
      <c r="Q58" s="25">
        <f t="shared" si="3"/>
        <v>10734460</v>
      </c>
      <c r="R58" s="25"/>
      <c r="S58" s="25"/>
      <c r="T58" s="7"/>
      <c r="U58" s="7"/>
      <c r="V58" s="7"/>
      <c r="W58" s="7"/>
      <c r="X58" s="25"/>
      <c r="Y58" s="25"/>
      <c r="Z58" s="7"/>
      <c r="AA58" s="7"/>
      <c r="AB58" s="7"/>
      <c r="AC58" s="25">
        <v>280000</v>
      </c>
      <c r="AD58" s="7"/>
      <c r="AE58" s="8"/>
    </row>
    <row r="59" spans="1:31" ht="13.5" customHeight="1" x14ac:dyDescent="0.25">
      <c r="A59" s="36">
        <v>17</v>
      </c>
      <c r="B59" s="75" t="s">
        <v>58</v>
      </c>
      <c r="C59" s="75" t="s">
        <v>59</v>
      </c>
      <c r="D59" s="40" t="s">
        <v>76</v>
      </c>
      <c r="E59" s="40" t="s">
        <v>97</v>
      </c>
      <c r="F59" s="40">
        <v>80</v>
      </c>
      <c r="G59" s="46"/>
      <c r="H59" s="10"/>
      <c r="I59" s="23">
        <f t="shared" si="2"/>
        <v>15461137.6</v>
      </c>
      <c r="J59" s="7"/>
      <c r="K59" s="7"/>
      <c r="L59" s="7"/>
      <c r="M59" s="7"/>
      <c r="N59" s="7"/>
      <c r="O59" s="7"/>
      <c r="P59" s="135"/>
      <c r="Q59" s="25"/>
      <c r="R59" s="25">
        <v>1201.8</v>
      </c>
      <c r="S59" s="25">
        <f t="shared" si="5"/>
        <v>15181137.6</v>
      </c>
      <c r="T59" s="7"/>
      <c r="U59" s="7"/>
      <c r="V59" s="7"/>
      <c r="W59" s="7"/>
      <c r="X59" s="25"/>
      <c r="Y59" s="25"/>
      <c r="Z59" s="7"/>
      <c r="AA59" s="7"/>
      <c r="AB59" s="7"/>
      <c r="AC59" s="25">
        <v>280000</v>
      </c>
      <c r="AD59" s="7"/>
      <c r="AE59" s="8"/>
    </row>
    <row r="60" spans="1:31" ht="13.5" customHeight="1" x14ac:dyDescent="0.25">
      <c r="A60" s="36">
        <v>18</v>
      </c>
      <c r="B60" s="75" t="s">
        <v>58</v>
      </c>
      <c r="C60" s="75" t="s">
        <v>59</v>
      </c>
      <c r="D60" s="40" t="s">
        <v>98</v>
      </c>
      <c r="E60" s="40" t="s">
        <v>99</v>
      </c>
      <c r="F60" s="40">
        <v>1</v>
      </c>
      <c r="G60" s="46"/>
      <c r="H60" s="10"/>
      <c r="I60" s="23">
        <f t="shared" si="2"/>
        <v>40437128</v>
      </c>
      <c r="J60" s="7"/>
      <c r="K60" s="7"/>
      <c r="L60" s="7"/>
      <c r="M60" s="7"/>
      <c r="N60" s="7"/>
      <c r="O60" s="7"/>
      <c r="P60" s="135"/>
      <c r="Q60" s="25"/>
      <c r="R60" s="25">
        <v>3179</v>
      </c>
      <c r="S60" s="25">
        <f t="shared" si="5"/>
        <v>40157128</v>
      </c>
      <c r="T60" s="7"/>
      <c r="U60" s="7"/>
      <c r="V60" s="7"/>
      <c r="W60" s="7"/>
      <c r="X60" s="25"/>
      <c r="Y60" s="25"/>
      <c r="Z60" s="7"/>
      <c r="AA60" s="7"/>
      <c r="AB60" s="7"/>
      <c r="AC60" s="25">
        <v>280000</v>
      </c>
      <c r="AD60" s="7"/>
      <c r="AE60" s="8"/>
    </row>
    <row r="61" spans="1:31" ht="13.5" customHeight="1" x14ac:dyDescent="0.25">
      <c r="A61" s="36">
        <v>19</v>
      </c>
      <c r="B61" s="75" t="s">
        <v>58</v>
      </c>
      <c r="C61" s="75" t="s">
        <v>59</v>
      </c>
      <c r="D61" s="40" t="s">
        <v>77</v>
      </c>
      <c r="E61" s="40" t="s">
        <v>100</v>
      </c>
      <c r="F61" s="40">
        <v>3</v>
      </c>
      <c r="G61" s="46"/>
      <c r="H61" s="10"/>
      <c r="I61" s="23">
        <f t="shared" si="2"/>
        <v>12607568.799999999</v>
      </c>
      <c r="J61" s="7"/>
      <c r="K61" s="7"/>
      <c r="L61" s="7"/>
      <c r="M61" s="7"/>
      <c r="N61" s="7"/>
      <c r="O61" s="7"/>
      <c r="P61" s="135"/>
      <c r="Q61" s="25"/>
      <c r="R61" s="25">
        <v>975.9</v>
      </c>
      <c r="S61" s="25">
        <f>R61*12632</f>
        <v>12327568.799999999</v>
      </c>
      <c r="T61" s="16"/>
      <c r="U61" s="16"/>
      <c r="V61" s="16"/>
      <c r="W61" s="7"/>
      <c r="X61" s="25"/>
      <c r="Y61" s="25"/>
      <c r="Z61" s="7"/>
      <c r="AA61" s="7"/>
      <c r="AB61" s="7"/>
      <c r="AC61" s="25">
        <v>280000</v>
      </c>
      <c r="AD61" s="9"/>
      <c r="AE61" s="8"/>
    </row>
    <row r="62" spans="1:31" ht="23.25" customHeight="1" x14ac:dyDescent="0.25">
      <c r="A62" s="234" t="s">
        <v>106</v>
      </c>
      <c r="B62" s="235"/>
      <c r="C62" s="235"/>
      <c r="D62" s="235"/>
      <c r="E62" s="235"/>
      <c r="F62" s="235"/>
      <c r="G62" s="235"/>
      <c r="H62" s="236"/>
      <c r="I62" s="23">
        <f>SUM(I43:I61)</f>
        <v>301900286.80000001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6">
        <f>SUM(P43:P61)</f>
        <v>13</v>
      </c>
      <c r="Q62" s="23">
        <f>SUM(Q43:Q61)</f>
        <v>69773990</v>
      </c>
      <c r="R62" s="23">
        <f>SUM(R47:R61)</f>
        <v>16691.900000000001</v>
      </c>
      <c r="S62" s="23">
        <f>SUM(S47:S61)</f>
        <v>210852080.80000001</v>
      </c>
      <c r="T62" s="22"/>
      <c r="U62" s="138">
        <v>0</v>
      </c>
      <c r="V62" s="23">
        <f>SUM(V46:V61)</f>
        <v>0</v>
      </c>
      <c r="W62" s="23">
        <f>SUM(W46:W61)</f>
        <v>0</v>
      </c>
      <c r="X62" s="23">
        <f>SUM(X57:X61)</f>
        <v>0</v>
      </c>
      <c r="Y62" s="23">
        <f>SUM(Y57:Y61)</f>
        <v>0</v>
      </c>
      <c r="Z62" s="138">
        <v>0</v>
      </c>
      <c r="AA62" s="22"/>
      <c r="AB62" s="138">
        <v>0</v>
      </c>
      <c r="AC62" s="23">
        <f>SUM(AC43:AC61)</f>
        <v>5320000</v>
      </c>
      <c r="AD62" s="138">
        <v>0</v>
      </c>
      <c r="AE62" s="140">
        <v>0</v>
      </c>
    </row>
    <row r="63" spans="1:31" ht="17.25" customHeight="1" x14ac:dyDescent="0.25">
      <c r="A63" s="157"/>
      <c r="B63" s="158"/>
      <c r="C63" s="158"/>
      <c r="D63" s="180"/>
      <c r="E63" s="149"/>
      <c r="F63" s="158"/>
      <c r="G63" s="158"/>
      <c r="H63" s="158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6"/>
    </row>
    <row r="64" spans="1:31" x14ac:dyDescent="0.25">
      <c r="A64" s="231" t="s">
        <v>90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3"/>
    </row>
    <row r="65" spans="1:31" ht="13.5" customHeight="1" x14ac:dyDescent="0.25">
      <c r="A65" s="36">
        <v>1</v>
      </c>
      <c r="B65" s="75" t="s">
        <v>58</v>
      </c>
      <c r="C65" s="75" t="s">
        <v>59</v>
      </c>
      <c r="D65" s="40" t="s">
        <v>77</v>
      </c>
      <c r="E65" s="40" t="s">
        <v>110</v>
      </c>
      <c r="F65" s="40">
        <v>4</v>
      </c>
      <c r="G65" s="17"/>
      <c r="H65" s="10"/>
      <c r="I65" s="133">
        <f>J65+K65+L65+M65+N65+O65+Q65+S65+U65+W65+Y65+Z65+AB65+AC65+AD65+AE65</f>
        <v>10840352</v>
      </c>
      <c r="J65" s="7"/>
      <c r="K65" s="7"/>
      <c r="L65" s="7"/>
      <c r="M65" s="7"/>
      <c r="N65" s="7"/>
      <c r="O65" s="7"/>
      <c r="P65" s="7"/>
      <c r="Q65" s="7"/>
      <c r="R65" s="25">
        <v>836</v>
      </c>
      <c r="S65" s="25">
        <f>R65*12632</f>
        <v>10560352</v>
      </c>
      <c r="T65" s="7"/>
      <c r="U65" s="7"/>
      <c r="V65" s="7"/>
      <c r="W65" s="7"/>
      <c r="X65" s="7"/>
      <c r="Y65" s="7"/>
      <c r="Z65" s="7"/>
      <c r="AA65" s="7"/>
      <c r="AB65" s="7"/>
      <c r="AC65" s="25">
        <v>280000</v>
      </c>
      <c r="AD65" s="7"/>
      <c r="AE65" s="8"/>
    </row>
    <row r="66" spans="1:31" ht="13.5" customHeight="1" x14ac:dyDescent="0.25">
      <c r="A66" s="36">
        <v>2</v>
      </c>
      <c r="B66" s="75" t="s">
        <v>58</v>
      </c>
      <c r="C66" s="75" t="s">
        <v>59</v>
      </c>
      <c r="D66" s="40" t="s">
        <v>77</v>
      </c>
      <c r="E66" s="40" t="s">
        <v>114</v>
      </c>
      <c r="F66" s="40">
        <v>3</v>
      </c>
      <c r="G66" s="17"/>
      <c r="H66" s="10"/>
      <c r="I66" s="133">
        <f t="shared" ref="I66" si="6">J66+K66+L66+M66+N66+O66+Q66+S66+U66+W66+Y66+Z66+AB66+AC66+AD66+AE66</f>
        <v>19485692.800000001</v>
      </c>
      <c r="J66" s="7"/>
      <c r="K66" s="7"/>
      <c r="L66" s="7"/>
      <c r="M66" s="7"/>
      <c r="N66" s="7"/>
      <c r="O66" s="7"/>
      <c r="P66" s="134"/>
      <c r="Q66" s="25"/>
      <c r="R66" s="25">
        <v>1520.4</v>
      </c>
      <c r="S66" s="25">
        <f t="shared" ref="S66" si="7">R66*12632</f>
        <v>19205692.800000001</v>
      </c>
      <c r="T66" s="7"/>
      <c r="U66" s="7"/>
      <c r="V66" s="7"/>
      <c r="W66" s="7"/>
      <c r="X66" s="7"/>
      <c r="Y66" s="7"/>
      <c r="Z66" s="7"/>
      <c r="AA66" s="7"/>
      <c r="AB66" s="7"/>
      <c r="AC66" s="25">
        <v>280000</v>
      </c>
      <c r="AD66" s="7"/>
      <c r="AE66" s="8"/>
    </row>
    <row r="67" spans="1:31" s="195" customFormat="1" ht="13.5" customHeight="1" x14ac:dyDescent="0.25">
      <c r="A67" s="36">
        <v>3</v>
      </c>
      <c r="B67" s="75" t="s">
        <v>58</v>
      </c>
      <c r="C67" s="75" t="s">
        <v>59</v>
      </c>
      <c r="D67" s="40" t="s">
        <v>77</v>
      </c>
      <c r="E67" s="40" t="s">
        <v>102</v>
      </c>
      <c r="F67" s="40">
        <v>17</v>
      </c>
      <c r="G67" s="17"/>
      <c r="H67" s="10"/>
      <c r="I67" s="133">
        <f t="shared" ref="I67:I69" si="8">J67+K67+L67+M67+N67+O67+Q67+S67+U67+W67+Y67+Z67+AB67+AC67+AD67+AE67</f>
        <v>32483380</v>
      </c>
      <c r="J67" s="7"/>
      <c r="K67" s="7"/>
      <c r="L67" s="7"/>
      <c r="M67" s="7"/>
      <c r="N67" s="7"/>
      <c r="O67" s="7"/>
      <c r="P67" s="134">
        <v>6</v>
      </c>
      <c r="Q67" s="25">
        <f>P67*5367230</f>
        <v>32203380</v>
      </c>
      <c r="R67" s="25"/>
      <c r="S67" s="25"/>
      <c r="T67" s="7"/>
      <c r="U67" s="7"/>
      <c r="V67" s="7"/>
      <c r="W67" s="7"/>
      <c r="X67" s="7"/>
      <c r="Y67" s="7"/>
      <c r="Z67" s="7"/>
      <c r="AA67" s="7"/>
      <c r="AB67" s="7"/>
      <c r="AC67" s="25">
        <v>280000</v>
      </c>
      <c r="AD67" s="7"/>
      <c r="AE67" s="8"/>
    </row>
    <row r="68" spans="1:31" ht="13.5" customHeight="1" x14ac:dyDescent="0.25">
      <c r="A68" s="36">
        <v>4</v>
      </c>
      <c r="B68" s="75" t="s">
        <v>58</v>
      </c>
      <c r="C68" s="75" t="s">
        <v>59</v>
      </c>
      <c r="D68" s="40" t="s">
        <v>77</v>
      </c>
      <c r="E68" s="40" t="s">
        <v>68</v>
      </c>
      <c r="F68" s="40">
        <v>26</v>
      </c>
      <c r="G68" s="17"/>
      <c r="H68" s="10"/>
      <c r="I68" s="133">
        <f t="shared" si="8"/>
        <v>12217240</v>
      </c>
      <c r="J68" s="7"/>
      <c r="K68" s="7"/>
      <c r="L68" s="7"/>
      <c r="M68" s="7"/>
      <c r="N68" s="7"/>
      <c r="O68" s="7"/>
      <c r="P68" s="7"/>
      <c r="Q68" s="7"/>
      <c r="R68" s="25">
        <v>945</v>
      </c>
      <c r="S68" s="25">
        <f>R68*12632</f>
        <v>11937240</v>
      </c>
      <c r="T68" s="7"/>
      <c r="U68" s="7"/>
      <c r="V68" s="7"/>
      <c r="W68" s="7"/>
      <c r="X68" s="7"/>
      <c r="Y68" s="7"/>
      <c r="Z68" s="7"/>
      <c r="AA68" s="7"/>
      <c r="AB68" s="7"/>
      <c r="AC68" s="25">
        <v>280000</v>
      </c>
      <c r="AD68" s="7"/>
      <c r="AE68" s="8"/>
    </row>
    <row r="69" spans="1:31" ht="13.5" customHeight="1" x14ac:dyDescent="0.25">
      <c r="A69" s="36">
        <v>5</v>
      </c>
      <c r="B69" s="75" t="s">
        <v>58</v>
      </c>
      <c r="C69" s="75" t="s">
        <v>59</v>
      </c>
      <c r="D69" s="40" t="s">
        <v>77</v>
      </c>
      <c r="E69" s="40" t="s">
        <v>68</v>
      </c>
      <c r="F69" s="40">
        <v>42</v>
      </c>
      <c r="G69" s="17"/>
      <c r="H69" s="10"/>
      <c r="I69" s="133">
        <f t="shared" si="8"/>
        <v>11454267.200000001</v>
      </c>
      <c r="J69" s="7"/>
      <c r="K69" s="7"/>
      <c r="L69" s="7"/>
      <c r="M69" s="7"/>
      <c r="N69" s="7"/>
      <c r="O69" s="7"/>
      <c r="P69" s="7"/>
      <c r="Q69" s="7"/>
      <c r="R69" s="25">
        <v>884.6</v>
      </c>
      <c r="S69" s="25">
        <f>R69*12632</f>
        <v>11174267.200000001</v>
      </c>
      <c r="T69" s="7"/>
      <c r="U69" s="7"/>
      <c r="V69" s="7"/>
      <c r="W69" s="7"/>
      <c r="X69" s="7"/>
      <c r="Y69" s="7"/>
      <c r="Z69" s="7"/>
      <c r="AA69" s="7"/>
      <c r="AB69" s="7"/>
      <c r="AC69" s="25">
        <v>280000</v>
      </c>
      <c r="AD69" s="7"/>
      <c r="AE69" s="8"/>
    </row>
    <row r="70" spans="1:31" ht="14.25" customHeight="1" x14ac:dyDescent="0.25">
      <c r="A70" s="36">
        <v>6</v>
      </c>
      <c r="B70" s="75" t="s">
        <v>58</v>
      </c>
      <c r="C70" s="75" t="s">
        <v>59</v>
      </c>
      <c r="D70" s="40" t="s">
        <v>76</v>
      </c>
      <c r="E70" s="104" t="s">
        <v>69</v>
      </c>
      <c r="F70" s="79" t="s">
        <v>117</v>
      </c>
      <c r="G70" s="46"/>
      <c r="H70" s="10"/>
      <c r="I70" s="133">
        <f>S70+AC70</f>
        <v>18339970.400000002</v>
      </c>
      <c r="J70" s="7"/>
      <c r="K70" s="7"/>
      <c r="L70" s="7"/>
      <c r="M70" s="7"/>
      <c r="N70" s="7"/>
      <c r="O70" s="7"/>
      <c r="P70" s="135"/>
      <c r="Q70" s="25"/>
      <c r="R70" s="131">
        <v>1429.7</v>
      </c>
      <c r="S70" s="25">
        <f t="shared" ref="S70:S77" si="9">R70*12632</f>
        <v>18059970.400000002</v>
      </c>
      <c r="T70" s="7"/>
      <c r="U70" s="7"/>
      <c r="V70" s="7"/>
      <c r="W70" s="7"/>
      <c r="X70" s="25"/>
      <c r="Y70" s="25"/>
      <c r="Z70" s="7"/>
      <c r="AA70" s="7"/>
      <c r="AB70" s="7"/>
      <c r="AC70" s="137">
        <v>280000</v>
      </c>
      <c r="AD70" s="7"/>
      <c r="AE70" s="8"/>
    </row>
    <row r="71" spans="1:31" ht="14.25" customHeight="1" x14ac:dyDescent="0.25">
      <c r="A71" s="36">
        <v>7</v>
      </c>
      <c r="B71" s="75" t="s">
        <v>58</v>
      </c>
      <c r="C71" s="75" t="s">
        <v>59</v>
      </c>
      <c r="D71" s="40" t="s">
        <v>76</v>
      </c>
      <c r="E71" s="104" t="s">
        <v>69</v>
      </c>
      <c r="F71" s="79" t="s">
        <v>118</v>
      </c>
      <c r="G71" s="46"/>
      <c r="H71" s="10"/>
      <c r="I71" s="133">
        <f>S71+AC71</f>
        <v>15552088</v>
      </c>
      <c r="J71" s="7"/>
      <c r="K71" s="7"/>
      <c r="L71" s="7"/>
      <c r="M71" s="7"/>
      <c r="N71" s="7"/>
      <c r="O71" s="7"/>
      <c r="P71" s="135"/>
      <c r="Q71" s="25"/>
      <c r="R71" s="131">
        <v>1209</v>
      </c>
      <c r="S71" s="25">
        <f t="shared" si="9"/>
        <v>15272088</v>
      </c>
      <c r="T71" s="7"/>
      <c r="U71" s="7"/>
      <c r="V71" s="7"/>
      <c r="W71" s="7"/>
      <c r="X71" s="25"/>
      <c r="Y71" s="25"/>
      <c r="Z71" s="7"/>
      <c r="AA71" s="7"/>
      <c r="AB71" s="7"/>
      <c r="AC71" s="137">
        <v>280000</v>
      </c>
      <c r="AD71" s="7"/>
      <c r="AE71" s="8"/>
    </row>
    <row r="72" spans="1:31" ht="14.25" customHeight="1" x14ac:dyDescent="0.25">
      <c r="A72" s="36">
        <v>8</v>
      </c>
      <c r="B72" s="75" t="s">
        <v>58</v>
      </c>
      <c r="C72" s="75" t="s">
        <v>59</v>
      </c>
      <c r="D72" s="40" t="s">
        <v>76</v>
      </c>
      <c r="E72" s="104" t="s">
        <v>69</v>
      </c>
      <c r="F72" s="79" t="s">
        <v>113</v>
      </c>
      <c r="G72" s="46"/>
      <c r="H72" s="10"/>
      <c r="I72" s="133">
        <f>Q72+AC72</f>
        <v>5647230</v>
      </c>
      <c r="J72" s="7"/>
      <c r="K72" s="7"/>
      <c r="L72" s="7"/>
      <c r="M72" s="7"/>
      <c r="N72" s="7"/>
      <c r="O72" s="7"/>
      <c r="P72" s="134">
        <v>1</v>
      </c>
      <c r="Q72" s="25">
        <f>P72*5367230</f>
        <v>5367230</v>
      </c>
      <c r="R72" s="131"/>
      <c r="S72" s="25"/>
      <c r="T72" s="7"/>
      <c r="U72" s="7"/>
      <c r="V72" s="7"/>
      <c r="W72" s="7"/>
      <c r="X72" s="25"/>
      <c r="Y72" s="25"/>
      <c r="Z72" s="7"/>
      <c r="AA72" s="7"/>
      <c r="AB72" s="7"/>
      <c r="AC72" s="137">
        <v>280000</v>
      </c>
      <c r="AD72" s="7"/>
      <c r="AE72" s="8"/>
    </row>
    <row r="73" spans="1:31" ht="14.25" customHeight="1" x14ac:dyDescent="0.25">
      <c r="A73" s="36">
        <v>9</v>
      </c>
      <c r="B73" s="75" t="s">
        <v>58</v>
      </c>
      <c r="C73" s="75" t="s">
        <v>59</v>
      </c>
      <c r="D73" s="40" t="s">
        <v>77</v>
      </c>
      <c r="E73" s="104" t="s">
        <v>119</v>
      </c>
      <c r="F73" s="79" t="s">
        <v>120</v>
      </c>
      <c r="G73" s="46"/>
      <c r="H73" s="10"/>
      <c r="I73" s="133">
        <f>S73+AC73</f>
        <v>15728936</v>
      </c>
      <c r="J73" s="7"/>
      <c r="K73" s="7"/>
      <c r="L73" s="7"/>
      <c r="M73" s="7"/>
      <c r="N73" s="7"/>
      <c r="O73" s="7"/>
      <c r="P73" s="134"/>
      <c r="Q73" s="25"/>
      <c r="R73" s="131">
        <v>1223</v>
      </c>
      <c r="S73" s="25">
        <f>R73*12632</f>
        <v>15448936</v>
      </c>
      <c r="T73" s="7"/>
      <c r="U73" s="7"/>
      <c r="V73" s="7"/>
      <c r="W73" s="7"/>
      <c r="X73" s="25"/>
      <c r="Y73" s="25"/>
      <c r="Z73" s="7"/>
      <c r="AA73" s="7"/>
      <c r="AB73" s="7"/>
      <c r="AC73" s="137">
        <v>280000</v>
      </c>
      <c r="AD73" s="7"/>
      <c r="AE73" s="8"/>
    </row>
    <row r="74" spans="1:31" ht="14.25" customHeight="1" x14ac:dyDescent="0.25">
      <c r="A74" s="36">
        <v>10</v>
      </c>
      <c r="B74" s="75" t="s">
        <v>58</v>
      </c>
      <c r="C74" s="75" t="s">
        <v>59</v>
      </c>
      <c r="D74" s="40" t="s">
        <v>76</v>
      </c>
      <c r="E74" s="40" t="s">
        <v>97</v>
      </c>
      <c r="F74" s="79" t="s">
        <v>122</v>
      </c>
      <c r="G74" s="46"/>
      <c r="H74" s="10"/>
      <c r="I74" s="133">
        <f>S74+AC74</f>
        <v>33754800</v>
      </c>
      <c r="J74" s="7"/>
      <c r="K74" s="7"/>
      <c r="L74" s="7"/>
      <c r="M74" s="7"/>
      <c r="N74" s="7"/>
      <c r="O74" s="7"/>
      <c r="P74" s="134"/>
      <c r="Q74" s="25"/>
      <c r="R74" s="131">
        <v>2650</v>
      </c>
      <c r="S74" s="25">
        <f>R74*12632</f>
        <v>33474800</v>
      </c>
      <c r="T74" s="7"/>
      <c r="U74" s="7"/>
      <c r="V74" s="7"/>
      <c r="W74" s="7"/>
      <c r="X74" s="25"/>
      <c r="Y74" s="25"/>
      <c r="Z74" s="7"/>
      <c r="AA74" s="7"/>
      <c r="AB74" s="7"/>
      <c r="AC74" s="137">
        <v>280000</v>
      </c>
      <c r="AD74" s="7"/>
      <c r="AE74" s="8"/>
    </row>
    <row r="75" spans="1:31" ht="14.25" customHeight="1" x14ac:dyDescent="0.25">
      <c r="A75" s="36">
        <v>11</v>
      </c>
      <c r="B75" s="75" t="s">
        <v>58</v>
      </c>
      <c r="C75" s="75" t="s">
        <v>59</v>
      </c>
      <c r="D75" s="40" t="s">
        <v>76</v>
      </c>
      <c r="E75" s="40" t="s">
        <v>97</v>
      </c>
      <c r="F75" s="40">
        <v>63</v>
      </c>
      <c r="G75" s="46"/>
      <c r="H75" s="10"/>
      <c r="I75" s="133">
        <f>J75+K75+L75+M75+N75+O75+Q75+S75+U75+W75+Y75+Z75+AB75+AC75+AD75+AE75</f>
        <v>16381690</v>
      </c>
      <c r="J75" s="7"/>
      <c r="K75" s="7"/>
      <c r="L75" s="7"/>
      <c r="M75" s="7"/>
      <c r="N75" s="7"/>
      <c r="O75" s="7"/>
      <c r="P75" s="134">
        <v>3</v>
      </c>
      <c r="Q75" s="25">
        <f t="shared" ref="Q75" si="10">P75*5367230</f>
        <v>16101690</v>
      </c>
      <c r="R75" s="25"/>
      <c r="S75" s="25"/>
      <c r="T75" s="7"/>
      <c r="U75" s="7"/>
      <c r="V75" s="7"/>
      <c r="W75" s="7"/>
      <c r="X75" s="25"/>
      <c r="Y75" s="25"/>
      <c r="Z75" s="7"/>
      <c r="AA75" s="7"/>
      <c r="AB75" s="7"/>
      <c r="AC75" s="25">
        <v>280000</v>
      </c>
      <c r="AD75" s="7"/>
      <c r="AE75" s="8"/>
    </row>
    <row r="76" spans="1:31" ht="14.25" customHeight="1" x14ac:dyDescent="0.25">
      <c r="A76" s="36">
        <v>12</v>
      </c>
      <c r="B76" s="75" t="s">
        <v>58</v>
      </c>
      <c r="C76" s="75" t="s">
        <v>59</v>
      </c>
      <c r="D76" s="40" t="s">
        <v>77</v>
      </c>
      <c r="E76" s="40" t="s">
        <v>121</v>
      </c>
      <c r="F76" s="40">
        <v>8</v>
      </c>
      <c r="G76" s="46"/>
      <c r="H76" s="10"/>
      <c r="I76" s="133">
        <f>J76+K76+L76+M76+N76+O76+Q76+S76+U76+W76+Y76+Z76+AB76+AC76+AD76+AE76</f>
        <v>14756272</v>
      </c>
      <c r="J76" s="7"/>
      <c r="K76" s="7"/>
      <c r="L76" s="7"/>
      <c r="M76" s="7"/>
      <c r="N76" s="7"/>
      <c r="O76" s="7"/>
      <c r="P76" s="134"/>
      <c r="Q76" s="25"/>
      <c r="R76" s="25">
        <v>1146</v>
      </c>
      <c r="S76" s="25">
        <f t="shared" ref="S76" si="11">R76*12632</f>
        <v>14476272</v>
      </c>
      <c r="T76" s="7"/>
      <c r="U76" s="7"/>
      <c r="V76" s="7"/>
      <c r="W76" s="7"/>
      <c r="X76" s="25"/>
      <c r="Y76" s="25"/>
      <c r="Z76" s="7"/>
      <c r="AA76" s="7"/>
      <c r="AB76" s="7"/>
      <c r="AC76" s="25">
        <v>280000</v>
      </c>
      <c r="AD76" s="7"/>
      <c r="AE76" s="8"/>
    </row>
    <row r="77" spans="1:31" ht="14.25" customHeight="1" x14ac:dyDescent="0.25">
      <c r="A77" s="36">
        <v>13</v>
      </c>
      <c r="B77" s="75" t="s">
        <v>58</v>
      </c>
      <c r="C77" s="75" t="s">
        <v>59</v>
      </c>
      <c r="D77" s="40" t="s">
        <v>77</v>
      </c>
      <c r="E77" s="104" t="s">
        <v>71</v>
      </c>
      <c r="F77" s="79" t="s">
        <v>115</v>
      </c>
      <c r="G77" s="46"/>
      <c r="H77" s="10"/>
      <c r="I77" s="133">
        <f>S77+AC77</f>
        <v>10898459.200000001</v>
      </c>
      <c r="J77" s="7"/>
      <c r="K77" s="7"/>
      <c r="L77" s="7"/>
      <c r="M77" s="7"/>
      <c r="N77" s="7"/>
      <c r="O77" s="7"/>
      <c r="P77" s="134"/>
      <c r="Q77" s="25"/>
      <c r="R77" s="131">
        <v>840.6</v>
      </c>
      <c r="S77" s="25">
        <f t="shared" si="9"/>
        <v>10618459.200000001</v>
      </c>
      <c r="T77" s="7"/>
      <c r="U77" s="7"/>
      <c r="V77" s="7"/>
      <c r="W77" s="7"/>
      <c r="X77" s="25"/>
      <c r="Y77" s="25"/>
      <c r="Z77" s="7"/>
      <c r="AA77" s="7"/>
      <c r="AB77" s="7"/>
      <c r="AC77" s="137">
        <v>280000</v>
      </c>
      <c r="AD77" s="7"/>
      <c r="AE77" s="8"/>
    </row>
    <row r="78" spans="1:31" ht="22.5" customHeight="1" x14ac:dyDescent="0.25">
      <c r="A78" s="234" t="s">
        <v>107</v>
      </c>
      <c r="B78" s="235"/>
      <c r="C78" s="235"/>
      <c r="D78" s="235"/>
      <c r="E78" s="235"/>
      <c r="F78" s="235"/>
      <c r="G78" s="235"/>
      <c r="H78" s="236"/>
      <c r="I78" s="23">
        <f>SUM(I65:I77)</f>
        <v>217540377.59999999</v>
      </c>
      <c r="J78" s="138">
        <v>0</v>
      </c>
      <c r="K78" s="138">
        <v>0</v>
      </c>
      <c r="L78" s="138">
        <v>0</v>
      </c>
      <c r="M78" s="138">
        <v>0</v>
      </c>
      <c r="N78" s="138">
        <v>0</v>
      </c>
      <c r="O78" s="138">
        <v>0</v>
      </c>
      <c r="P78" s="7"/>
      <c r="Q78" s="138">
        <v>0</v>
      </c>
      <c r="R78" s="23">
        <f>SUM(R65:R77)</f>
        <v>12684.300000000001</v>
      </c>
      <c r="S78" s="23">
        <f>SUM(S65:S77)</f>
        <v>160228077.59999999</v>
      </c>
      <c r="T78" s="7"/>
      <c r="U78" s="138">
        <v>0</v>
      </c>
      <c r="V78" s="7"/>
      <c r="W78" s="138">
        <v>0</v>
      </c>
      <c r="X78" s="23">
        <v>0</v>
      </c>
      <c r="Y78" s="23">
        <v>0</v>
      </c>
      <c r="Z78" s="138">
        <v>0</v>
      </c>
      <c r="AA78" s="7"/>
      <c r="AB78" s="138">
        <v>0</v>
      </c>
      <c r="AC78" s="23">
        <f>SUM(AC65:AC77)</f>
        <v>3640000</v>
      </c>
      <c r="AD78" s="138">
        <v>0</v>
      </c>
      <c r="AE78" s="138">
        <v>0</v>
      </c>
    </row>
    <row r="79" spans="1:31" ht="24" customHeight="1" x14ac:dyDescent="0.25">
      <c r="A79" s="159" t="s">
        <v>36</v>
      </c>
      <c r="B79" s="159"/>
      <c r="C79" s="159"/>
      <c r="D79" s="159"/>
      <c r="E79" s="159"/>
      <c r="F79" s="159"/>
      <c r="G79" s="159"/>
      <c r="H79" s="159"/>
      <c r="I79" s="159"/>
      <c r="J79" s="159"/>
      <c r="K79" s="12"/>
      <c r="L79" s="12"/>
      <c r="M79" s="12"/>
      <c r="N79" s="12"/>
      <c r="O79" s="12"/>
      <c r="P79" s="12"/>
      <c r="Q79" s="12"/>
      <c r="R79" s="141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</sheetData>
  <mergeCells count="36">
    <mergeCell ref="A64:AE64"/>
    <mergeCell ref="A78:H78"/>
    <mergeCell ref="T6:U6"/>
    <mergeCell ref="V6:W6"/>
    <mergeCell ref="A9:AE9"/>
    <mergeCell ref="A40:H40"/>
    <mergeCell ref="A42:AE42"/>
    <mergeCell ref="A62:H62"/>
    <mergeCell ref="H5:H7"/>
    <mergeCell ref="J5:K5"/>
    <mergeCell ref="L5:L6"/>
    <mergeCell ref="M5:M6"/>
    <mergeCell ref="N5:N6"/>
    <mergeCell ref="O5:O6"/>
    <mergeCell ref="B5:B7"/>
    <mergeCell ref="C5:C7"/>
    <mergeCell ref="D5:D7"/>
    <mergeCell ref="E5:E7"/>
    <mergeCell ref="F5:F7"/>
    <mergeCell ref="G5:G7"/>
    <mergeCell ref="AE4:AE6"/>
    <mergeCell ref="Y1:AE1"/>
    <mergeCell ref="Y2:AE2"/>
    <mergeCell ref="A3:AE3"/>
    <mergeCell ref="A4:A7"/>
    <mergeCell ref="B4:H4"/>
    <mergeCell ref="I4:I6"/>
    <mergeCell ref="J4:O4"/>
    <mergeCell ref="P4:Q6"/>
    <mergeCell ref="R4:S6"/>
    <mergeCell ref="T4:W5"/>
    <mergeCell ref="X4:Y6"/>
    <mergeCell ref="Z4:Z6"/>
    <mergeCell ref="AA4:AB6"/>
    <mergeCell ref="AC4:AC6"/>
    <mergeCell ref="AD4:AD6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62" fitToWidth="0" fitToHeight="0" orientation="landscape" r:id="rId1"/>
  <rowBreaks count="1" manualBreakCount="1">
    <brk id="6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66AF333A-724B-49ED-AA2E-99D9434CC56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3" stopIfTrue="1" id="{B3EF8F6D-B6DC-4AD8-9900-3CD5E21F940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2" stopIfTrue="1" id="{1D7B6AEF-3781-45CC-BE93-27CFC0FF6AB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D20:D25</xm:sqref>
        </x14:conditionalFormatting>
        <x14:conditionalFormatting xmlns:xm="http://schemas.microsoft.com/office/excel/2006/main">
          <x14:cfRule type="expression" priority="1" stopIfTrue="1" id="{1F26E29C-64C0-4B85-85C4-5470023218E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tabSelected="1" view="pageBreakPreview" zoomScale="120" zoomScaleNormal="115" zoomScaleSheetLayoutView="120" workbookViewId="0">
      <selection activeCell="A3" sqref="A3:F3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26.25" customHeight="1" x14ac:dyDescent="0.25">
      <c r="A1" s="3"/>
      <c r="E1" s="238" t="s">
        <v>91</v>
      </c>
      <c r="F1" s="238"/>
    </row>
    <row r="2" spans="1:6" ht="19.5" customHeight="1" x14ac:dyDescent="0.25">
      <c r="A2" s="3"/>
      <c r="E2" s="238" t="s">
        <v>128</v>
      </c>
      <c r="F2" s="238"/>
    </row>
    <row r="3" spans="1:6" ht="32.25" customHeight="1" x14ac:dyDescent="0.25">
      <c r="A3" s="227" t="s">
        <v>109</v>
      </c>
      <c r="B3" s="239"/>
      <c r="C3" s="239"/>
      <c r="D3" s="239"/>
      <c r="E3" s="239"/>
      <c r="F3" s="239"/>
    </row>
    <row r="4" spans="1:6" ht="71.25" customHeight="1" x14ac:dyDescent="0.25">
      <c r="A4" s="240" t="s">
        <v>17</v>
      </c>
      <c r="B4" s="242" t="s">
        <v>39</v>
      </c>
      <c r="C4" s="15" t="s">
        <v>38</v>
      </c>
      <c r="D4" s="15" t="s">
        <v>14</v>
      </c>
      <c r="E4" s="14" t="s">
        <v>22</v>
      </c>
      <c r="F4" s="14" t="s">
        <v>13</v>
      </c>
    </row>
    <row r="5" spans="1:6" x14ac:dyDescent="0.25">
      <c r="A5" s="241"/>
      <c r="B5" s="242"/>
      <c r="C5" s="2" t="s">
        <v>19</v>
      </c>
      <c r="D5" s="1" t="s">
        <v>2</v>
      </c>
      <c r="E5" s="1" t="s">
        <v>20</v>
      </c>
      <c r="F5" s="1" t="s">
        <v>53</v>
      </c>
    </row>
    <row r="6" spans="1:6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5">
      <c r="A7" s="1" t="s">
        <v>42</v>
      </c>
      <c r="B7" s="72" t="s">
        <v>88</v>
      </c>
      <c r="C7" s="174">
        <v>158627.5</v>
      </c>
      <c r="D7" s="148">
        <v>6088</v>
      </c>
      <c r="E7" s="101">
        <v>30</v>
      </c>
      <c r="F7" s="102">
        <v>276791870.06</v>
      </c>
    </row>
    <row r="8" spans="1:6" ht="29.25" customHeight="1" x14ac:dyDescent="0.25">
      <c r="A8" s="5"/>
      <c r="B8" s="72" t="s">
        <v>92</v>
      </c>
      <c r="C8" s="175">
        <f>C7</f>
        <v>158627.5</v>
      </c>
      <c r="D8" s="143">
        <f>D7</f>
        <v>6088</v>
      </c>
      <c r="E8" s="1">
        <f>E7</f>
        <v>30</v>
      </c>
      <c r="F8" s="73">
        <f>F7</f>
        <v>276791870.06</v>
      </c>
    </row>
    <row r="9" spans="1:6" x14ac:dyDescent="0.25">
      <c r="A9" s="1" t="s">
        <v>42</v>
      </c>
      <c r="B9" s="72" t="s">
        <v>89</v>
      </c>
      <c r="C9" s="192">
        <v>111197.5</v>
      </c>
      <c r="D9" s="142">
        <v>4112</v>
      </c>
      <c r="E9" s="101">
        <v>19</v>
      </c>
      <c r="F9" s="102">
        <v>301900286.80000001</v>
      </c>
    </row>
    <row r="10" spans="1:6" ht="24.75" customHeight="1" x14ac:dyDescent="0.25">
      <c r="A10" s="5"/>
      <c r="B10" s="72" t="s">
        <v>92</v>
      </c>
      <c r="C10" s="175">
        <f>C9</f>
        <v>111197.5</v>
      </c>
      <c r="D10" s="143">
        <f>D9</f>
        <v>4112</v>
      </c>
      <c r="E10" s="1">
        <f>E9</f>
        <v>19</v>
      </c>
      <c r="F10" s="73">
        <f>F9</f>
        <v>301900286.80000001</v>
      </c>
    </row>
    <row r="11" spans="1:6" ht="24.75" customHeight="1" x14ac:dyDescent="0.25">
      <c r="A11" s="1" t="s">
        <v>42</v>
      </c>
      <c r="B11" s="72" t="s">
        <v>90</v>
      </c>
      <c r="C11" s="194">
        <v>93866.71</v>
      </c>
      <c r="D11" s="144">
        <v>3342</v>
      </c>
      <c r="E11" s="101">
        <v>13</v>
      </c>
      <c r="F11" s="102">
        <v>217540377.59999999</v>
      </c>
    </row>
    <row r="12" spans="1:6" ht="24.75" customHeight="1" x14ac:dyDescent="0.25">
      <c r="A12" s="11"/>
      <c r="B12" s="72" t="s">
        <v>92</v>
      </c>
      <c r="C12" s="175">
        <f>C11</f>
        <v>93866.71</v>
      </c>
      <c r="D12" s="143">
        <f>D11</f>
        <v>3342</v>
      </c>
      <c r="E12" s="1">
        <f>E11</f>
        <v>13</v>
      </c>
      <c r="F12" s="73">
        <f>F11</f>
        <v>217540377.59999999</v>
      </c>
    </row>
    <row r="13" spans="1:6" ht="16.5" customHeight="1" x14ac:dyDescent="0.25">
      <c r="A13" s="237" t="s">
        <v>36</v>
      </c>
      <c r="B13" s="237"/>
      <c r="C13" s="237"/>
      <c r="D13" s="237"/>
      <c r="E13" s="237"/>
    </row>
  </sheetData>
  <mergeCells count="6">
    <mergeCell ref="A13:E13"/>
    <mergeCell ref="E1:F1"/>
    <mergeCell ref="A3:F3"/>
    <mergeCell ref="A4:A5"/>
    <mergeCell ref="B4:B5"/>
    <mergeCell ref="E2:F2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user</cp:lastModifiedBy>
  <cp:lastPrinted>2023-04-03T07:22:19Z</cp:lastPrinted>
  <dcterms:created xsi:type="dcterms:W3CDTF">2014-04-04T11:20:04Z</dcterms:created>
  <dcterms:modified xsi:type="dcterms:W3CDTF">2023-04-03T07:22:23Z</dcterms:modified>
</cp:coreProperties>
</file>